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2" activeTab="2"/>
  </bookViews>
  <sheets>
    <sheet name="WF Original" sheetId="15" r:id="rId1"/>
    <sheet name="Weather data" sheetId="11" r:id="rId2"/>
    <sheet name="Grain Yiled" sheetId="8" r:id="rId3"/>
    <sheet name="water extraction pattern" sheetId="1" r:id="rId4"/>
    <sheet name="Water foot print" sheetId="5" r:id="rId5"/>
    <sheet name="BD" sheetId="6" r:id="rId6"/>
    <sheet name="Physical properties" sheetId="7" r:id="rId7"/>
    <sheet name="WF" sheetId="9" r:id="rId8"/>
    <sheet name="Percolation" sheetId="14" r:id="rId9"/>
    <sheet name="wp" sheetId="13" r:id="rId10"/>
  </sheets>
  <calcPr calcId="144525"/>
</workbook>
</file>

<file path=xl/calcChain.xml><?xml version="1.0" encoding="utf-8"?>
<calcChain xmlns="http://schemas.openxmlformats.org/spreadsheetml/2006/main">
  <c r="B9" i="9" l="1"/>
  <c r="E9" i="9" s="1"/>
  <c r="C9" i="9"/>
  <c r="D9" i="9"/>
  <c r="B10" i="9"/>
  <c r="C10" i="9"/>
  <c r="D10" i="9"/>
  <c r="E10" i="9"/>
  <c r="F10" i="9" s="1"/>
  <c r="T10" i="9"/>
  <c r="U10" i="9"/>
  <c r="V10" i="9"/>
  <c r="B11" i="9"/>
  <c r="C11" i="9"/>
  <c r="D11" i="9"/>
  <c r="E11" i="9"/>
  <c r="F11" i="9" s="1"/>
  <c r="H11" i="9"/>
  <c r="T11" i="9"/>
  <c r="U11" i="9"/>
  <c r="V11" i="9"/>
  <c r="AB11" i="9"/>
  <c r="B12" i="9"/>
  <c r="C12" i="9"/>
  <c r="E12" i="9" s="1"/>
  <c r="F12" i="9" s="1"/>
  <c r="D12" i="9"/>
  <c r="H12" i="9"/>
  <c r="T12" i="9"/>
  <c r="U12" i="9"/>
  <c r="V12" i="9"/>
  <c r="B13" i="9"/>
  <c r="T14" i="9" s="1"/>
  <c r="C13" i="9"/>
  <c r="D13" i="9"/>
  <c r="V14" i="9" s="1"/>
  <c r="H13" i="9"/>
  <c r="T13" i="9"/>
  <c r="U13" i="9"/>
  <c r="V13" i="9"/>
  <c r="B14" i="9"/>
  <c r="T15" i="9" s="1"/>
  <c r="C14" i="9"/>
  <c r="D14" i="9"/>
  <c r="V15" i="9" s="1"/>
  <c r="H14" i="9"/>
  <c r="U14" i="9"/>
  <c r="B15" i="9"/>
  <c r="E15" i="9" s="1"/>
  <c r="F15" i="9" s="1"/>
  <c r="C15" i="9"/>
  <c r="D15" i="9"/>
  <c r="V16" i="9" s="1"/>
  <c r="H15" i="9"/>
  <c r="U15" i="9"/>
  <c r="Y15" i="9"/>
  <c r="B16" i="9"/>
  <c r="C16" i="9"/>
  <c r="D16" i="9"/>
  <c r="E16" i="9"/>
  <c r="F16" i="9" s="1"/>
  <c r="H16" i="9"/>
  <c r="L13" i="9" s="1"/>
  <c r="U16" i="9"/>
  <c r="Y16" i="9"/>
  <c r="B17" i="9"/>
  <c r="C17" i="9"/>
  <c r="D17" i="9"/>
  <c r="E17" i="9"/>
  <c r="F17" i="9" s="1"/>
  <c r="H17" i="9"/>
  <c r="L17" i="9"/>
  <c r="T17" i="9"/>
  <c r="U17" i="9"/>
  <c r="V17" i="9"/>
  <c r="Y17" i="9"/>
  <c r="B18" i="9"/>
  <c r="C18" i="9"/>
  <c r="E18" i="9" s="1"/>
  <c r="F18" i="9" s="1"/>
  <c r="D18" i="9"/>
  <c r="T18" i="9"/>
  <c r="U18" i="9"/>
  <c r="V18" i="9"/>
  <c r="Y18" i="9"/>
  <c r="B19" i="9"/>
  <c r="C19" i="9"/>
  <c r="E19" i="9" s="1"/>
  <c r="F19" i="9" s="1"/>
  <c r="D19" i="9"/>
  <c r="T19" i="9"/>
  <c r="V19" i="9"/>
  <c r="Y19" i="9"/>
  <c r="B20" i="9"/>
  <c r="T21" i="9" s="1"/>
  <c r="C20" i="9"/>
  <c r="D20" i="9"/>
  <c r="T20" i="9"/>
  <c r="V20" i="9"/>
  <c r="B21" i="9"/>
  <c r="C21" i="9"/>
  <c r="E21" i="9" s="1"/>
  <c r="F21" i="9" s="1"/>
  <c r="D21" i="9"/>
  <c r="U21" i="9"/>
  <c r="V21" i="9"/>
  <c r="B22" i="9"/>
  <c r="C22" i="9"/>
  <c r="D22" i="9"/>
  <c r="E22" i="9"/>
  <c r="F22" i="9" s="1"/>
  <c r="T22" i="9"/>
  <c r="U22" i="9"/>
  <c r="V22" i="9"/>
  <c r="B23" i="9"/>
  <c r="E23" i="9" s="1"/>
  <c r="F23" i="9" s="1"/>
  <c r="C23" i="9"/>
  <c r="D23" i="9"/>
  <c r="T23" i="9"/>
  <c r="U23" i="9"/>
  <c r="V23" i="9"/>
  <c r="B24" i="9"/>
  <c r="E24" i="9" s="1"/>
  <c r="F24" i="9" s="1"/>
  <c r="C24" i="9"/>
  <c r="D24" i="9"/>
  <c r="V25" i="9" s="1"/>
  <c r="T24" i="9"/>
  <c r="U24" i="9"/>
  <c r="V24" i="9"/>
  <c r="B25" i="9"/>
  <c r="C25" i="9"/>
  <c r="U26" i="9" s="1"/>
  <c r="D25" i="9"/>
  <c r="E25" i="9"/>
  <c r="F25" i="9" s="1"/>
  <c r="U25" i="9"/>
  <c r="B26" i="9"/>
  <c r="E26" i="9" s="1"/>
  <c r="F26" i="9" s="1"/>
  <c r="C26" i="9"/>
  <c r="D26" i="9"/>
  <c r="V27" i="9" s="1"/>
  <c r="T26" i="9"/>
  <c r="V26" i="9"/>
  <c r="C27" i="9"/>
  <c r="C28" i="9" s="1"/>
  <c r="U27" i="9"/>
  <c r="AJ120" i="5"/>
  <c r="Z114" i="5"/>
  <c r="Z104" i="5"/>
  <c r="L175" i="13"/>
  <c r="H174" i="13"/>
  <c r="H172" i="13"/>
  <c r="H171" i="13"/>
  <c r="H173" i="13" s="1"/>
  <c r="H170" i="13"/>
  <c r="H169" i="13"/>
  <c r="L145" i="13"/>
  <c r="H144" i="13"/>
  <c r="H142" i="13"/>
  <c r="H141" i="13"/>
  <c r="H140" i="13"/>
  <c r="H139" i="13"/>
  <c r="AJ121" i="5"/>
  <c r="AK121" i="5"/>
  <c r="AL121" i="5"/>
  <c r="AJ122" i="5"/>
  <c r="AK122" i="5"/>
  <c r="AL122" i="5"/>
  <c r="AJ123" i="5"/>
  <c r="AK123" i="5"/>
  <c r="AL123" i="5"/>
  <c r="AJ124" i="5"/>
  <c r="AK124" i="5"/>
  <c r="AL124" i="5"/>
  <c r="AJ125" i="5"/>
  <c r="AK125" i="5"/>
  <c r="AL125" i="5"/>
  <c r="AJ126" i="5"/>
  <c r="AK126" i="5"/>
  <c r="AL126" i="5"/>
  <c r="AJ127" i="5"/>
  <c r="AK127" i="5"/>
  <c r="AL127" i="5"/>
  <c r="AJ128" i="5"/>
  <c r="AK128" i="5"/>
  <c r="AL128" i="5"/>
  <c r="AJ129" i="5"/>
  <c r="AK129" i="5"/>
  <c r="AL129" i="5"/>
  <c r="AJ130" i="5"/>
  <c r="AK130" i="5"/>
  <c r="AL130" i="5"/>
  <c r="AJ131" i="5"/>
  <c r="AK131" i="5"/>
  <c r="AL131" i="5"/>
  <c r="AJ132" i="5"/>
  <c r="AK132" i="5"/>
  <c r="AL132" i="5"/>
  <c r="AJ133" i="5"/>
  <c r="AK133" i="5"/>
  <c r="AL133" i="5"/>
  <c r="AJ134" i="5"/>
  <c r="AK134" i="5"/>
  <c r="AL134" i="5"/>
  <c r="AJ135" i="5"/>
  <c r="AK135" i="5"/>
  <c r="AL135" i="5"/>
  <c r="AJ136" i="5"/>
  <c r="AK136" i="5"/>
  <c r="AL136" i="5"/>
  <c r="AJ137" i="5"/>
  <c r="AK137" i="5"/>
  <c r="AL137" i="5"/>
  <c r="AK120" i="5"/>
  <c r="AL120" i="5"/>
  <c r="W121" i="5"/>
  <c r="X121" i="5"/>
  <c r="Y121" i="5"/>
  <c r="W122" i="5"/>
  <c r="X122" i="5"/>
  <c r="Y122" i="5"/>
  <c r="W123" i="5"/>
  <c r="X123" i="5"/>
  <c r="Y123" i="5"/>
  <c r="W124" i="5"/>
  <c r="X124" i="5"/>
  <c r="Y124" i="5"/>
  <c r="W125" i="5"/>
  <c r="X125" i="5"/>
  <c r="Y125" i="5"/>
  <c r="W126" i="5"/>
  <c r="X126" i="5"/>
  <c r="Y126" i="5"/>
  <c r="W127" i="5"/>
  <c r="X127" i="5"/>
  <c r="Y127" i="5"/>
  <c r="W128" i="5"/>
  <c r="X128" i="5"/>
  <c r="Y128" i="5"/>
  <c r="W129" i="5"/>
  <c r="X129" i="5"/>
  <c r="Y129" i="5"/>
  <c r="W130" i="5"/>
  <c r="X130" i="5"/>
  <c r="Y130" i="5"/>
  <c r="W131" i="5"/>
  <c r="X131" i="5"/>
  <c r="Y131" i="5"/>
  <c r="W132" i="5"/>
  <c r="X132" i="5"/>
  <c r="Y132" i="5"/>
  <c r="W133" i="5"/>
  <c r="X133" i="5"/>
  <c r="Y133" i="5"/>
  <c r="W134" i="5"/>
  <c r="X134" i="5"/>
  <c r="Y134" i="5"/>
  <c r="W135" i="5"/>
  <c r="X135" i="5"/>
  <c r="Y135" i="5"/>
  <c r="W136" i="5"/>
  <c r="X136" i="5"/>
  <c r="Y136" i="5"/>
  <c r="W137" i="5"/>
  <c r="X137" i="5"/>
  <c r="Y137" i="5"/>
  <c r="Y120" i="5"/>
  <c r="X120" i="5"/>
  <c r="W120" i="5"/>
  <c r="AJ8" i="5"/>
  <c r="AK8" i="5"/>
  <c r="AL8" i="5"/>
  <c r="AJ9" i="5"/>
  <c r="AK9" i="5"/>
  <c r="AL9" i="5"/>
  <c r="AJ10" i="5"/>
  <c r="AK10" i="5"/>
  <c r="AL10" i="5"/>
  <c r="AJ11" i="5"/>
  <c r="AK11" i="5"/>
  <c r="AL11" i="5"/>
  <c r="AJ12" i="5"/>
  <c r="AK12" i="5"/>
  <c r="AL12" i="5"/>
  <c r="AJ13" i="5"/>
  <c r="AK13" i="5"/>
  <c r="AL13" i="5"/>
  <c r="AJ14" i="5"/>
  <c r="AK14" i="5"/>
  <c r="AL14" i="5"/>
  <c r="AJ15" i="5"/>
  <c r="AK15" i="5"/>
  <c r="AL15" i="5"/>
  <c r="AJ16" i="5"/>
  <c r="AK16" i="5"/>
  <c r="AL16" i="5"/>
  <c r="AJ17" i="5"/>
  <c r="AK17" i="5"/>
  <c r="AL17" i="5"/>
  <c r="AJ18" i="5"/>
  <c r="AK18" i="5"/>
  <c r="AL18" i="5"/>
  <c r="AJ19" i="5"/>
  <c r="AK19" i="5"/>
  <c r="AL19" i="5"/>
  <c r="AJ20" i="5"/>
  <c r="AK20" i="5"/>
  <c r="AL20" i="5"/>
  <c r="AJ21" i="5"/>
  <c r="AK21" i="5"/>
  <c r="AL21" i="5"/>
  <c r="AJ22" i="5"/>
  <c r="AK22" i="5"/>
  <c r="AL22" i="5"/>
  <c r="AJ23" i="5"/>
  <c r="AK23" i="5"/>
  <c r="AL23" i="5"/>
  <c r="AJ24" i="5"/>
  <c r="AK24" i="5"/>
  <c r="AL24" i="5"/>
  <c r="AK7" i="5"/>
  <c r="AL7" i="5"/>
  <c r="AJ7" i="5"/>
  <c r="W8" i="5"/>
  <c r="X8" i="5"/>
  <c r="Y8" i="5"/>
  <c r="W9" i="5"/>
  <c r="X9" i="5"/>
  <c r="Y9" i="5"/>
  <c r="W10" i="5"/>
  <c r="X10" i="5"/>
  <c r="Y10" i="5"/>
  <c r="W11" i="5"/>
  <c r="X11" i="5"/>
  <c r="Y11" i="5"/>
  <c r="W12" i="5"/>
  <c r="X12" i="5"/>
  <c r="Y12" i="5"/>
  <c r="W13" i="5"/>
  <c r="X13" i="5"/>
  <c r="Y13" i="5"/>
  <c r="W14" i="5"/>
  <c r="X14" i="5"/>
  <c r="Y14" i="5"/>
  <c r="W15" i="5"/>
  <c r="X15" i="5"/>
  <c r="Y15" i="5"/>
  <c r="W16" i="5"/>
  <c r="X16" i="5"/>
  <c r="Y16" i="5"/>
  <c r="W17" i="5"/>
  <c r="X17" i="5"/>
  <c r="Y17" i="5"/>
  <c r="W18" i="5"/>
  <c r="X18" i="5"/>
  <c r="Y18" i="5"/>
  <c r="W19" i="5"/>
  <c r="X19" i="5"/>
  <c r="Y19" i="5"/>
  <c r="W20" i="5"/>
  <c r="X20" i="5"/>
  <c r="Y20" i="5"/>
  <c r="W21" i="5"/>
  <c r="X21" i="5"/>
  <c r="Y21" i="5"/>
  <c r="W22" i="5"/>
  <c r="X22" i="5"/>
  <c r="Y22" i="5"/>
  <c r="W23" i="5"/>
  <c r="X23" i="5"/>
  <c r="Y23" i="5"/>
  <c r="W24" i="5"/>
  <c r="X24" i="5"/>
  <c r="Y24" i="5"/>
  <c r="Y7" i="5"/>
  <c r="W7" i="5"/>
  <c r="X7" i="5"/>
  <c r="AF114" i="5"/>
  <c r="AE114" i="5"/>
  <c r="AD114" i="5"/>
  <c r="AF113" i="5"/>
  <c r="AE113" i="5"/>
  <c r="AD113" i="5"/>
  <c r="AF112" i="5"/>
  <c r="AE112" i="5"/>
  <c r="AD112" i="5"/>
  <c r="AF111" i="5"/>
  <c r="AE111" i="5"/>
  <c r="AD111" i="5"/>
  <c r="AF110" i="5"/>
  <c r="AE110" i="5"/>
  <c r="AD110" i="5"/>
  <c r="AF109" i="5"/>
  <c r="AE109" i="5"/>
  <c r="AD109" i="5"/>
  <c r="AF108" i="5"/>
  <c r="AE108" i="5"/>
  <c r="AD108" i="5"/>
  <c r="AF107" i="5"/>
  <c r="AE107" i="5"/>
  <c r="AD107" i="5"/>
  <c r="AF106" i="5"/>
  <c r="AE106" i="5"/>
  <c r="AD106" i="5"/>
  <c r="AF105" i="5"/>
  <c r="AE105" i="5"/>
  <c r="AD105" i="5"/>
  <c r="AF104" i="5"/>
  <c r="AE104" i="5"/>
  <c r="AD104" i="5"/>
  <c r="AH104" i="5" s="1"/>
  <c r="AP104" i="5" s="1"/>
  <c r="AF103" i="5"/>
  <c r="AE103" i="5"/>
  <c r="AD103" i="5"/>
  <c r="AF102" i="5"/>
  <c r="AE102" i="5"/>
  <c r="AD102" i="5"/>
  <c r="AF101" i="5"/>
  <c r="AE101" i="5"/>
  <c r="AD101" i="5"/>
  <c r="AF100" i="5"/>
  <c r="AE100" i="5"/>
  <c r="AD100" i="5"/>
  <c r="AF99" i="5"/>
  <c r="AE99" i="5"/>
  <c r="AD99" i="5"/>
  <c r="AF98" i="5"/>
  <c r="AE98" i="5"/>
  <c r="AD98" i="5"/>
  <c r="AF97" i="5"/>
  <c r="AE97" i="5"/>
  <c r="AD97" i="5"/>
  <c r="AD57" i="5"/>
  <c r="AD48" i="5"/>
  <c r="AE48" i="5"/>
  <c r="AF48" i="5"/>
  <c r="AD49" i="5"/>
  <c r="AE49" i="5"/>
  <c r="AF49" i="5"/>
  <c r="AD50" i="5"/>
  <c r="AE50" i="5"/>
  <c r="AF50" i="5"/>
  <c r="AD51" i="5"/>
  <c r="AE51" i="5"/>
  <c r="AF51" i="5"/>
  <c r="AD52" i="5"/>
  <c r="AE52" i="5"/>
  <c r="AF52" i="5"/>
  <c r="AD53" i="5"/>
  <c r="AE53" i="5"/>
  <c r="AF53" i="5"/>
  <c r="AD54" i="5"/>
  <c r="AE54" i="5"/>
  <c r="AF54" i="5"/>
  <c r="AD55" i="5"/>
  <c r="AE55" i="5"/>
  <c r="AF55" i="5"/>
  <c r="AD56" i="5"/>
  <c r="AE56" i="5"/>
  <c r="AF56" i="5"/>
  <c r="AE47" i="5"/>
  <c r="AF47" i="5"/>
  <c r="AD47" i="5"/>
  <c r="AE57" i="5"/>
  <c r="AF57" i="5"/>
  <c r="AD58" i="5"/>
  <c r="AE58" i="5"/>
  <c r="AF58" i="5"/>
  <c r="AD59" i="5"/>
  <c r="AE59" i="5"/>
  <c r="AF59" i="5"/>
  <c r="AD60" i="5"/>
  <c r="AE60" i="5"/>
  <c r="AF60" i="5"/>
  <c r="AD61" i="5"/>
  <c r="AE61" i="5"/>
  <c r="AF61" i="5"/>
  <c r="AD62" i="5"/>
  <c r="AE62" i="5"/>
  <c r="AF62" i="5"/>
  <c r="AD63" i="5"/>
  <c r="AE63" i="5"/>
  <c r="AF63" i="5"/>
  <c r="AD64" i="5"/>
  <c r="AE64" i="5"/>
  <c r="AF64" i="5"/>
  <c r="N94" i="15"/>
  <c r="M94" i="15"/>
  <c r="L94" i="15"/>
  <c r="F94" i="15"/>
  <c r="E94" i="15"/>
  <c r="D94" i="15"/>
  <c r="N93" i="15"/>
  <c r="M93" i="15"/>
  <c r="L93" i="15"/>
  <c r="F93" i="15"/>
  <c r="E93" i="15"/>
  <c r="D93" i="15"/>
  <c r="N92" i="15"/>
  <c r="M92" i="15"/>
  <c r="L92" i="15"/>
  <c r="F92" i="15"/>
  <c r="E92" i="15"/>
  <c r="D92" i="15"/>
  <c r="N91" i="15"/>
  <c r="M91" i="15"/>
  <c r="L91" i="15"/>
  <c r="F91" i="15"/>
  <c r="E91" i="15"/>
  <c r="D91" i="15"/>
  <c r="N90" i="15"/>
  <c r="M90" i="15"/>
  <c r="L90" i="15"/>
  <c r="F90" i="15"/>
  <c r="E90" i="15"/>
  <c r="D90" i="15"/>
  <c r="N89" i="15"/>
  <c r="M89" i="15"/>
  <c r="L89" i="15"/>
  <c r="F89" i="15"/>
  <c r="E89" i="15"/>
  <c r="D89" i="15"/>
  <c r="N88" i="15"/>
  <c r="M88" i="15"/>
  <c r="L88" i="15"/>
  <c r="F88" i="15"/>
  <c r="E88" i="15"/>
  <c r="D88" i="15"/>
  <c r="N87" i="15"/>
  <c r="M87" i="15"/>
  <c r="R87" i="15" s="1"/>
  <c r="L87" i="15"/>
  <c r="F87" i="15"/>
  <c r="E87" i="15"/>
  <c r="D87" i="15"/>
  <c r="N86" i="15"/>
  <c r="M86" i="15"/>
  <c r="L86" i="15"/>
  <c r="F86" i="15"/>
  <c r="E86" i="15"/>
  <c r="D86" i="15"/>
  <c r="N85" i="15"/>
  <c r="M85" i="15"/>
  <c r="R85" i="15" s="1"/>
  <c r="L85" i="15"/>
  <c r="F85" i="15"/>
  <c r="E85" i="15"/>
  <c r="D85" i="15"/>
  <c r="N84" i="15"/>
  <c r="M84" i="15"/>
  <c r="L84" i="15"/>
  <c r="F84" i="15"/>
  <c r="S84" i="15" s="1"/>
  <c r="E84" i="15"/>
  <c r="D84" i="15"/>
  <c r="Q84" i="15" s="1"/>
  <c r="N83" i="15"/>
  <c r="M83" i="15"/>
  <c r="R83" i="15" s="1"/>
  <c r="L83" i="15"/>
  <c r="F83" i="15"/>
  <c r="S83" i="15" s="1"/>
  <c r="E83" i="15"/>
  <c r="D83" i="15"/>
  <c r="Q83" i="15" s="1"/>
  <c r="N82" i="15"/>
  <c r="M82" i="15"/>
  <c r="L82" i="15"/>
  <c r="F82" i="15"/>
  <c r="S82" i="15" s="1"/>
  <c r="E82" i="15"/>
  <c r="D82" i="15"/>
  <c r="Q82" i="15" s="1"/>
  <c r="N81" i="15"/>
  <c r="M81" i="15"/>
  <c r="R81" i="15" s="1"/>
  <c r="L81" i="15"/>
  <c r="F81" i="15"/>
  <c r="S81" i="15" s="1"/>
  <c r="E81" i="15"/>
  <c r="D81" i="15"/>
  <c r="Q81" i="15" s="1"/>
  <c r="N80" i="15"/>
  <c r="M80" i="15"/>
  <c r="L80" i="15"/>
  <c r="F80" i="15"/>
  <c r="S80" i="15" s="1"/>
  <c r="E80" i="15"/>
  <c r="D80" i="15"/>
  <c r="Q80" i="15" s="1"/>
  <c r="N79" i="15"/>
  <c r="M79" i="15"/>
  <c r="R79" i="15" s="1"/>
  <c r="L79" i="15"/>
  <c r="F79" i="15"/>
  <c r="S79" i="15" s="1"/>
  <c r="E79" i="15"/>
  <c r="D79" i="15"/>
  <c r="Q79" i="15" s="1"/>
  <c r="N78" i="15"/>
  <c r="M78" i="15"/>
  <c r="L78" i="15"/>
  <c r="F78" i="15"/>
  <c r="S78" i="15" s="1"/>
  <c r="E78" i="15"/>
  <c r="D78" i="15"/>
  <c r="Q78" i="15" s="1"/>
  <c r="N77" i="15"/>
  <c r="M77" i="15"/>
  <c r="R77" i="15" s="1"/>
  <c r="L77" i="15"/>
  <c r="F77" i="15"/>
  <c r="S77" i="15" s="1"/>
  <c r="E77" i="15"/>
  <c r="D77" i="15"/>
  <c r="Q77" i="15" s="1"/>
  <c r="R74" i="15"/>
  <c r="J74" i="15"/>
  <c r="S74" i="15" s="1"/>
  <c r="I74" i="15"/>
  <c r="H74" i="15"/>
  <c r="Q74" i="15" s="1"/>
  <c r="R73" i="15"/>
  <c r="J73" i="15"/>
  <c r="S73" i="15" s="1"/>
  <c r="I73" i="15"/>
  <c r="H73" i="15"/>
  <c r="Q73" i="15" s="1"/>
  <c r="R72" i="15"/>
  <c r="J72" i="15"/>
  <c r="S72" i="15" s="1"/>
  <c r="I72" i="15"/>
  <c r="H72" i="15"/>
  <c r="Q72" i="15" s="1"/>
  <c r="R71" i="15"/>
  <c r="J71" i="15"/>
  <c r="S71" i="15" s="1"/>
  <c r="I71" i="15"/>
  <c r="H71" i="15"/>
  <c r="Q71" i="15" s="1"/>
  <c r="R70" i="15"/>
  <c r="J70" i="15"/>
  <c r="S70" i="15" s="1"/>
  <c r="I70" i="15"/>
  <c r="H70" i="15"/>
  <c r="Q70" i="15" s="1"/>
  <c r="R69" i="15"/>
  <c r="J69" i="15"/>
  <c r="S69" i="15" s="1"/>
  <c r="I69" i="15"/>
  <c r="H69" i="15"/>
  <c r="Q69" i="15" s="1"/>
  <c r="R68" i="15"/>
  <c r="J68" i="15"/>
  <c r="S68" i="15" s="1"/>
  <c r="I68" i="15"/>
  <c r="H68" i="15"/>
  <c r="Q68" i="15" s="1"/>
  <c r="R67" i="15"/>
  <c r="J67" i="15"/>
  <c r="S67" i="15" s="1"/>
  <c r="I67" i="15"/>
  <c r="H67" i="15"/>
  <c r="Q67" i="15" s="1"/>
  <c r="R66" i="15"/>
  <c r="J66" i="15"/>
  <c r="S66" i="15" s="1"/>
  <c r="I66" i="15"/>
  <c r="H66" i="15"/>
  <c r="Q66" i="15" s="1"/>
  <c r="R65" i="15"/>
  <c r="J65" i="15"/>
  <c r="S65" i="15" s="1"/>
  <c r="I65" i="15"/>
  <c r="H65" i="15"/>
  <c r="Q65" i="15" s="1"/>
  <c r="R64" i="15"/>
  <c r="J64" i="15"/>
  <c r="S64" i="15" s="1"/>
  <c r="I64" i="15"/>
  <c r="H64" i="15"/>
  <c r="Q64" i="15" s="1"/>
  <c r="R63" i="15"/>
  <c r="J63" i="15"/>
  <c r="S63" i="15" s="1"/>
  <c r="I63" i="15"/>
  <c r="H63" i="15"/>
  <c r="Q63" i="15" s="1"/>
  <c r="R62" i="15"/>
  <c r="J62" i="15"/>
  <c r="S62" i="15" s="1"/>
  <c r="I62" i="15"/>
  <c r="H62" i="15"/>
  <c r="Q62" i="15" s="1"/>
  <c r="R61" i="15"/>
  <c r="J61" i="15"/>
  <c r="S61" i="15" s="1"/>
  <c r="I61" i="15"/>
  <c r="H61" i="15"/>
  <c r="Q61" i="15" s="1"/>
  <c r="R60" i="15"/>
  <c r="J60" i="15"/>
  <c r="S60" i="15" s="1"/>
  <c r="I60" i="15"/>
  <c r="H60" i="15"/>
  <c r="Q60" i="15" s="1"/>
  <c r="R59" i="15"/>
  <c r="J59" i="15"/>
  <c r="S59" i="15" s="1"/>
  <c r="I59" i="15"/>
  <c r="H59" i="15"/>
  <c r="Q59" i="15" s="1"/>
  <c r="R58" i="15"/>
  <c r="J58" i="15"/>
  <c r="S58" i="15" s="1"/>
  <c r="I58" i="15"/>
  <c r="H58" i="15"/>
  <c r="Q58" i="15" s="1"/>
  <c r="R57" i="15"/>
  <c r="J57" i="15"/>
  <c r="S57" i="15" s="1"/>
  <c r="I57" i="15"/>
  <c r="H57" i="15"/>
  <c r="Q57" i="15" s="1"/>
  <c r="N44" i="15"/>
  <c r="M44" i="15"/>
  <c r="L44" i="15"/>
  <c r="Q44" i="15" s="1"/>
  <c r="F44" i="15"/>
  <c r="E44" i="15"/>
  <c r="D44" i="15"/>
  <c r="N43" i="15"/>
  <c r="M43" i="15"/>
  <c r="R43" i="15" s="1"/>
  <c r="L43" i="15"/>
  <c r="F43" i="15"/>
  <c r="S43" i="15" s="1"/>
  <c r="E43" i="15"/>
  <c r="D43" i="15"/>
  <c r="Q43" i="15" s="1"/>
  <c r="N42" i="15"/>
  <c r="M42" i="15"/>
  <c r="R42" i="15" s="1"/>
  <c r="V42" i="15" s="1"/>
  <c r="L42" i="15"/>
  <c r="F42" i="15"/>
  <c r="E42" i="15"/>
  <c r="D42" i="15"/>
  <c r="N41" i="15"/>
  <c r="M41" i="15"/>
  <c r="R41" i="15" s="1"/>
  <c r="L41" i="15"/>
  <c r="F41" i="15"/>
  <c r="S41" i="15" s="1"/>
  <c r="E41" i="15"/>
  <c r="D41" i="15"/>
  <c r="Q41" i="15" s="1"/>
  <c r="N40" i="15"/>
  <c r="M40" i="15"/>
  <c r="L40" i="15"/>
  <c r="F40" i="15"/>
  <c r="E40" i="15"/>
  <c r="D40" i="15"/>
  <c r="N39" i="15"/>
  <c r="M39" i="15"/>
  <c r="R39" i="15" s="1"/>
  <c r="L39" i="15"/>
  <c r="F39" i="15"/>
  <c r="S39" i="15" s="1"/>
  <c r="E39" i="15"/>
  <c r="D39" i="15"/>
  <c r="N38" i="15"/>
  <c r="M38" i="15"/>
  <c r="L38" i="15"/>
  <c r="F38" i="15"/>
  <c r="E38" i="15"/>
  <c r="D38" i="15"/>
  <c r="N37" i="15"/>
  <c r="M37" i="15"/>
  <c r="R37" i="15" s="1"/>
  <c r="L37" i="15"/>
  <c r="F37" i="15"/>
  <c r="S37" i="15" s="1"/>
  <c r="E37" i="15"/>
  <c r="D37" i="15"/>
  <c r="Q37" i="15" s="1"/>
  <c r="N36" i="15"/>
  <c r="M36" i="15"/>
  <c r="L36" i="15"/>
  <c r="Q36" i="15" s="1"/>
  <c r="F36" i="15"/>
  <c r="E36" i="15"/>
  <c r="D36" i="15"/>
  <c r="N35" i="15"/>
  <c r="M35" i="15"/>
  <c r="R35" i="15" s="1"/>
  <c r="L35" i="15"/>
  <c r="F35" i="15"/>
  <c r="S35" i="15" s="1"/>
  <c r="E35" i="15"/>
  <c r="D35" i="15"/>
  <c r="Q35" i="15" s="1"/>
  <c r="N34" i="15"/>
  <c r="M34" i="15"/>
  <c r="R34" i="15" s="1"/>
  <c r="V34" i="15" s="1"/>
  <c r="L34" i="15"/>
  <c r="F34" i="15"/>
  <c r="E34" i="15"/>
  <c r="D34" i="15"/>
  <c r="N33" i="15"/>
  <c r="M33" i="15"/>
  <c r="R33" i="15" s="1"/>
  <c r="L33" i="15"/>
  <c r="F33" i="15"/>
  <c r="S33" i="15" s="1"/>
  <c r="AF53" i="15" s="1"/>
  <c r="E33" i="15"/>
  <c r="D33" i="15"/>
  <c r="Q33" i="15" s="1"/>
  <c r="N32" i="15"/>
  <c r="M32" i="15"/>
  <c r="L32" i="15"/>
  <c r="F32" i="15"/>
  <c r="E32" i="15"/>
  <c r="D32" i="15"/>
  <c r="N31" i="15"/>
  <c r="M31" i="15"/>
  <c r="R31" i="15" s="1"/>
  <c r="L31" i="15"/>
  <c r="Q31" i="15" s="1"/>
  <c r="F31" i="15"/>
  <c r="S31" i="15" s="1"/>
  <c r="AF51" i="15" s="1"/>
  <c r="E31" i="15"/>
  <c r="D31" i="15"/>
  <c r="N30" i="15"/>
  <c r="S30" i="15" s="1"/>
  <c r="M30" i="15"/>
  <c r="L30" i="15"/>
  <c r="F30" i="15"/>
  <c r="E30" i="15"/>
  <c r="D30" i="15"/>
  <c r="N29" i="15"/>
  <c r="M29" i="15"/>
  <c r="R29" i="15" s="1"/>
  <c r="L29" i="15"/>
  <c r="F29" i="15"/>
  <c r="S29" i="15" s="1"/>
  <c r="AF49" i="15" s="1"/>
  <c r="E29" i="15"/>
  <c r="D29" i="15"/>
  <c r="N28" i="15"/>
  <c r="S28" i="15" s="1"/>
  <c r="M28" i="15"/>
  <c r="L28" i="15"/>
  <c r="Q28" i="15" s="1"/>
  <c r="AD48" i="15" s="1"/>
  <c r="F28" i="15"/>
  <c r="E28" i="15"/>
  <c r="D28" i="15"/>
  <c r="N27" i="15"/>
  <c r="M27" i="15"/>
  <c r="L27" i="15"/>
  <c r="Q27" i="15" s="1"/>
  <c r="F27" i="15"/>
  <c r="E27" i="15"/>
  <c r="D27" i="15"/>
  <c r="Q24" i="15"/>
  <c r="J24" i="15"/>
  <c r="S24" i="15" s="1"/>
  <c r="I24" i="15"/>
  <c r="R24" i="15" s="1"/>
  <c r="H24" i="15"/>
  <c r="S23" i="15"/>
  <c r="J23" i="15"/>
  <c r="I23" i="15"/>
  <c r="R23" i="15" s="1"/>
  <c r="H23" i="15"/>
  <c r="Q23" i="15" s="1"/>
  <c r="Q22" i="15"/>
  <c r="J22" i="15"/>
  <c r="S22" i="15" s="1"/>
  <c r="I22" i="15"/>
  <c r="R22" i="15" s="1"/>
  <c r="H22" i="15"/>
  <c r="S21" i="15"/>
  <c r="J21" i="15"/>
  <c r="I21" i="15"/>
  <c r="R21" i="15" s="1"/>
  <c r="H21" i="15"/>
  <c r="Q21" i="15" s="1"/>
  <c r="Q20" i="15"/>
  <c r="J20" i="15"/>
  <c r="S20" i="15" s="1"/>
  <c r="I20" i="15"/>
  <c r="R20" i="15" s="1"/>
  <c r="H20" i="15"/>
  <c r="S19" i="15"/>
  <c r="J19" i="15"/>
  <c r="I19" i="15"/>
  <c r="R19" i="15" s="1"/>
  <c r="H19" i="15"/>
  <c r="Q19" i="15" s="1"/>
  <c r="Q18" i="15"/>
  <c r="J18" i="15"/>
  <c r="S18" i="15" s="1"/>
  <c r="I18" i="15"/>
  <c r="R18" i="15" s="1"/>
  <c r="H18" i="15"/>
  <c r="S17" i="15"/>
  <c r="J17" i="15"/>
  <c r="I17" i="15"/>
  <c r="R17" i="15" s="1"/>
  <c r="H17" i="15"/>
  <c r="Q17" i="15" s="1"/>
  <c r="Q16" i="15"/>
  <c r="J16" i="15"/>
  <c r="S16" i="15" s="1"/>
  <c r="I16" i="15"/>
  <c r="R16" i="15" s="1"/>
  <c r="H16" i="15"/>
  <c r="S15" i="15"/>
  <c r="J15" i="15"/>
  <c r="I15" i="15"/>
  <c r="R15" i="15" s="1"/>
  <c r="H15" i="15"/>
  <c r="Q15" i="15" s="1"/>
  <c r="Q14" i="15"/>
  <c r="J14" i="15"/>
  <c r="S14" i="15" s="1"/>
  <c r="I14" i="15"/>
  <c r="R14" i="15" s="1"/>
  <c r="H14" i="15"/>
  <c r="S13" i="15"/>
  <c r="J13" i="15"/>
  <c r="I13" i="15"/>
  <c r="R13" i="15" s="1"/>
  <c r="H13" i="15"/>
  <c r="Q13" i="15" s="1"/>
  <c r="Q12" i="15"/>
  <c r="J12" i="15"/>
  <c r="S12" i="15" s="1"/>
  <c r="I12" i="15"/>
  <c r="R12" i="15" s="1"/>
  <c r="H12" i="15"/>
  <c r="S11" i="15"/>
  <c r="J11" i="15"/>
  <c r="I11" i="15"/>
  <c r="R11" i="15" s="1"/>
  <c r="H11" i="15"/>
  <c r="Q11" i="15" s="1"/>
  <c r="Q10" i="15"/>
  <c r="J10" i="15"/>
  <c r="S10" i="15" s="1"/>
  <c r="I10" i="15"/>
  <c r="R10" i="15" s="1"/>
  <c r="H10" i="15"/>
  <c r="S9" i="15"/>
  <c r="J9" i="15"/>
  <c r="I9" i="15"/>
  <c r="R9" i="15" s="1"/>
  <c r="H9" i="15"/>
  <c r="Q9" i="15" s="1"/>
  <c r="Q8" i="15"/>
  <c r="J8" i="15"/>
  <c r="S8" i="15" s="1"/>
  <c r="I8" i="15"/>
  <c r="R8" i="15" s="1"/>
  <c r="H8" i="15"/>
  <c r="J7" i="15"/>
  <c r="S7" i="15" s="1"/>
  <c r="I7" i="15"/>
  <c r="R7" i="15" s="1"/>
  <c r="H7" i="15"/>
  <c r="Q7" i="15" s="1"/>
  <c r="W7" i="15" s="1"/>
  <c r="B59" i="14"/>
  <c r="C59" i="14"/>
  <c r="D59" i="14"/>
  <c r="Y59" i="5"/>
  <c r="Y60" i="5"/>
  <c r="Y63" i="5"/>
  <c r="Y55" i="5"/>
  <c r="Y47" i="5"/>
  <c r="Y48" i="5"/>
  <c r="AA49" i="5"/>
  <c r="AB54" i="5"/>
  <c r="Y56" i="5"/>
  <c r="Y64" i="5"/>
  <c r="Y49" i="5"/>
  <c r="Y51" i="5"/>
  <c r="Y57" i="5"/>
  <c r="Y61" i="5"/>
  <c r="L113" i="14"/>
  <c r="H112" i="14"/>
  <c r="H110" i="14"/>
  <c r="H109" i="14"/>
  <c r="H108" i="14"/>
  <c r="H107" i="14"/>
  <c r="L81" i="14"/>
  <c r="H80" i="14"/>
  <c r="H78" i="14"/>
  <c r="H77" i="14"/>
  <c r="H76" i="14"/>
  <c r="H75" i="14"/>
  <c r="L49" i="14"/>
  <c r="H48" i="14"/>
  <c r="H46" i="14"/>
  <c r="H45" i="14"/>
  <c r="H44" i="14"/>
  <c r="H43" i="14"/>
  <c r="E23" i="14"/>
  <c r="F23" i="14" s="1"/>
  <c r="E22" i="14"/>
  <c r="F22" i="14" s="1"/>
  <c r="E21" i="14"/>
  <c r="F21" i="14" s="1"/>
  <c r="E19" i="14"/>
  <c r="F19" i="14" s="1"/>
  <c r="L17" i="14"/>
  <c r="E17" i="14"/>
  <c r="F17" i="14" s="1"/>
  <c r="H16" i="14"/>
  <c r="E16" i="14"/>
  <c r="F16" i="14" s="1"/>
  <c r="H14" i="14"/>
  <c r="H13" i="14"/>
  <c r="H12" i="14"/>
  <c r="H11" i="14"/>
  <c r="E10" i="14"/>
  <c r="F10" i="14" s="1"/>
  <c r="C27" i="14"/>
  <c r="C28" i="14" s="1"/>
  <c r="D27" i="14"/>
  <c r="D28" i="14" s="1"/>
  <c r="AB114" i="5"/>
  <c r="AJ114" i="5" s="1"/>
  <c r="AR114" i="5" s="1"/>
  <c r="AH114" i="5"/>
  <c r="AA114" i="5"/>
  <c r="AA113" i="5"/>
  <c r="AB113" i="5"/>
  <c r="Z113" i="5"/>
  <c r="AB112" i="5"/>
  <c r="AJ112" i="5" s="1"/>
  <c r="Z112" i="5"/>
  <c r="AA112" i="5"/>
  <c r="AA111" i="5"/>
  <c r="AI111" i="5" s="1"/>
  <c r="AB111" i="5"/>
  <c r="Z111" i="5"/>
  <c r="AB110" i="5"/>
  <c r="AJ110" i="5" s="1"/>
  <c r="AR110" i="5" s="1"/>
  <c r="Z110" i="5"/>
  <c r="AH110" i="5" s="1"/>
  <c r="AA110" i="5"/>
  <c r="AA109" i="5"/>
  <c r="AB109" i="5"/>
  <c r="Z109" i="5"/>
  <c r="AB108" i="5"/>
  <c r="AJ108" i="5" s="1"/>
  <c r="Z108" i="5"/>
  <c r="AA108" i="5"/>
  <c r="AA107" i="5"/>
  <c r="AI107" i="5" s="1"/>
  <c r="AB107" i="5"/>
  <c r="Z107" i="5"/>
  <c r="AB106" i="5"/>
  <c r="AJ106" i="5" s="1"/>
  <c r="AR106" i="5" s="1"/>
  <c r="Z106" i="5"/>
  <c r="AH106" i="5" s="1"/>
  <c r="AA106" i="5"/>
  <c r="AA105" i="5"/>
  <c r="AB105" i="5"/>
  <c r="Z105" i="5"/>
  <c r="AB104" i="5"/>
  <c r="AJ104" i="5" s="1"/>
  <c r="AA104" i="5"/>
  <c r="AA103" i="5"/>
  <c r="AI103" i="5" s="1"/>
  <c r="AB103" i="5"/>
  <c r="Z103" i="5"/>
  <c r="AB102" i="5"/>
  <c r="AJ102" i="5" s="1"/>
  <c r="AR102" i="5" s="1"/>
  <c r="Z102" i="5"/>
  <c r="AH102" i="5" s="1"/>
  <c r="AA102" i="5"/>
  <c r="AA101" i="5"/>
  <c r="AB101" i="5"/>
  <c r="Z101" i="5"/>
  <c r="AB100" i="5"/>
  <c r="AJ100" i="5" s="1"/>
  <c r="Z100" i="5"/>
  <c r="AA100" i="5"/>
  <c r="AA99" i="5"/>
  <c r="AI99" i="5" s="1"/>
  <c r="AB99" i="5"/>
  <c r="Z99" i="5"/>
  <c r="AB98" i="5"/>
  <c r="AJ98" i="5" s="1"/>
  <c r="AR98" i="5" s="1"/>
  <c r="Z98" i="5"/>
  <c r="AH98" i="5" s="1"/>
  <c r="AA98" i="5"/>
  <c r="AA97" i="5"/>
  <c r="AB97" i="5"/>
  <c r="Z97" i="5"/>
  <c r="AB48" i="5"/>
  <c r="Z50" i="5"/>
  <c r="AA51" i="5"/>
  <c r="AB52" i="5"/>
  <c r="Z54" i="5"/>
  <c r="AA55" i="5"/>
  <c r="AB56" i="5"/>
  <c r="Z58" i="5"/>
  <c r="AH58" i="5" s="1"/>
  <c r="AP58" i="5" s="1"/>
  <c r="AA59" i="5"/>
  <c r="AI59" i="5" s="1"/>
  <c r="AQ59" i="5" s="1"/>
  <c r="AB60" i="5"/>
  <c r="AJ60" i="5" s="1"/>
  <c r="AR60" i="5" s="1"/>
  <c r="Z62" i="5"/>
  <c r="AH62" i="5" s="1"/>
  <c r="AP62" i="5" s="1"/>
  <c r="AA63" i="5"/>
  <c r="AI63" i="5" s="1"/>
  <c r="AQ63" i="5" s="1"/>
  <c r="AB64" i="5"/>
  <c r="AJ64" i="5" s="1"/>
  <c r="AR64" i="5" s="1"/>
  <c r="AA48" i="5"/>
  <c r="Z49" i="5"/>
  <c r="AB49" i="5"/>
  <c r="AA50" i="5"/>
  <c r="Z51" i="5"/>
  <c r="AB51" i="5"/>
  <c r="AA52" i="5"/>
  <c r="Z53" i="5"/>
  <c r="AA53" i="5"/>
  <c r="AI53" i="5" s="1"/>
  <c r="AQ53" i="5" s="1"/>
  <c r="AB53" i="5"/>
  <c r="AA54" i="5"/>
  <c r="Z55" i="5"/>
  <c r="AB55" i="5"/>
  <c r="AA56" i="5"/>
  <c r="AI56" i="5" s="1"/>
  <c r="AQ56" i="5" s="1"/>
  <c r="Z57" i="5"/>
  <c r="AH57" i="5" s="1"/>
  <c r="AP57" i="5" s="1"/>
  <c r="AB57" i="5"/>
  <c r="AJ57" i="5" s="1"/>
  <c r="AR57" i="5" s="1"/>
  <c r="AA58" i="5"/>
  <c r="AB58" i="5"/>
  <c r="AJ58" i="5" s="1"/>
  <c r="AN58" i="5" s="1"/>
  <c r="Z59" i="5"/>
  <c r="AH59" i="5" s="1"/>
  <c r="AP59" i="5" s="1"/>
  <c r="AB59" i="5"/>
  <c r="AJ59" i="5" s="1"/>
  <c r="AR59" i="5" s="1"/>
  <c r="AA60" i="5"/>
  <c r="AI60" i="5" s="1"/>
  <c r="AQ60" i="5" s="1"/>
  <c r="Z61" i="5"/>
  <c r="AH61" i="5" s="1"/>
  <c r="AP61" i="5" s="1"/>
  <c r="AB61" i="5"/>
  <c r="AJ61" i="5" s="1"/>
  <c r="AR61" i="5" s="1"/>
  <c r="AA62" i="5"/>
  <c r="AI62" i="5" s="1"/>
  <c r="AQ62" i="5" s="1"/>
  <c r="Z63" i="5"/>
  <c r="AH63" i="5" s="1"/>
  <c r="AP63" i="5" s="1"/>
  <c r="AB63" i="5"/>
  <c r="AJ63" i="5" s="1"/>
  <c r="AR63" i="5" s="1"/>
  <c r="Z64" i="5"/>
  <c r="AH64" i="5" s="1"/>
  <c r="AL64" i="5" s="1"/>
  <c r="AA64" i="5"/>
  <c r="AI64" i="5" s="1"/>
  <c r="AQ64" i="5" s="1"/>
  <c r="AA47" i="5"/>
  <c r="AB47" i="5"/>
  <c r="P20" i="9" l="1"/>
  <c r="P21" i="9"/>
  <c r="P19" i="9"/>
  <c r="P14" i="9"/>
  <c r="P16" i="9"/>
  <c r="F9" i="9"/>
  <c r="T27" i="9"/>
  <c r="D27" i="9"/>
  <c r="D28" i="9" s="1"/>
  <c r="U20" i="9"/>
  <c r="U19" i="9"/>
  <c r="T16" i="9"/>
  <c r="E14" i="9"/>
  <c r="F14" i="9" s="1"/>
  <c r="E13" i="9"/>
  <c r="F13" i="9" s="1"/>
  <c r="L12" i="9"/>
  <c r="L11" i="9"/>
  <c r="F27" i="9"/>
  <c r="B27" i="9"/>
  <c r="T25" i="9"/>
  <c r="E20" i="9"/>
  <c r="F20" i="9" s="1"/>
  <c r="P10" i="9" s="1"/>
  <c r="L15" i="9"/>
  <c r="L14" i="9"/>
  <c r="H79" i="14"/>
  <c r="L14" i="14"/>
  <c r="R28" i="15"/>
  <c r="Q30" i="15"/>
  <c r="AD50" i="15" s="1"/>
  <c r="R36" i="15"/>
  <c r="V36" i="15" s="1"/>
  <c r="Q38" i="15"/>
  <c r="Q39" i="15"/>
  <c r="R44" i="15"/>
  <c r="V44" i="15" s="1"/>
  <c r="R30" i="15"/>
  <c r="V30" i="15" s="1"/>
  <c r="Q32" i="15"/>
  <c r="AD52" i="15" s="1"/>
  <c r="R38" i="15"/>
  <c r="V38" i="15" s="1"/>
  <c r="Q40" i="15"/>
  <c r="H15" i="14"/>
  <c r="L15" i="14" s="1"/>
  <c r="Q29" i="15"/>
  <c r="R32" i="15"/>
  <c r="Q34" i="15"/>
  <c r="AD54" i="15" s="1"/>
  <c r="R40" i="15"/>
  <c r="V40" i="15" s="1"/>
  <c r="Q42" i="15"/>
  <c r="Q85" i="15"/>
  <c r="S86" i="15"/>
  <c r="Q87" i="15"/>
  <c r="S88" i="15"/>
  <c r="Q89" i="15"/>
  <c r="AI58" i="5"/>
  <c r="AQ58" i="5" s="1"/>
  <c r="AI97" i="5"/>
  <c r="AQ97" i="5" s="1"/>
  <c r="AH100" i="5"/>
  <c r="AI101" i="5"/>
  <c r="AQ101" i="5" s="1"/>
  <c r="AI105" i="5"/>
  <c r="AQ105" i="5" s="1"/>
  <c r="AH108" i="5"/>
  <c r="AP108" i="5" s="1"/>
  <c r="AI109" i="5"/>
  <c r="AH112" i="5"/>
  <c r="AP112" i="5" s="1"/>
  <c r="AI113" i="5"/>
  <c r="AQ113" i="5" s="1"/>
  <c r="L11" i="14"/>
  <c r="H81" i="14"/>
  <c r="R27" i="15"/>
  <c r="S32" i="15"/>
  <c r="S34" i="15"/>
  <c r="S36" i="15"/>
  <c r="S38" i="15"/>
  <c r="S40" i="15"/>
  <c r="S42" i="15"/>
  <c r="S44" i="15"/>
  <c r="S27" i="15"/>
  <c r="R78" i="15"/>
  <c r="R80" i="15"/>
  <c r="R82" i="15"/>
  <c r="R84" i="15"/>
  <c r="S85" i="15"/>
  <c r="Q86" i="15"/>
  <c r="R86" i="15"/>
  <c r="S87" i="15"/>
  <c r="Q88" i="15"/>
  <c r="R88" i="15"/>
  <c r="S89" i="15"/>
  <c r="Q90" i="15"/>
  <c r="R90" i="15"/>
  <c r="S91" i="15"/>
  <c r="Q92" i="15"/>
  <c r="R92" i="15"/>
  <c r="S93" i="15"/>
  <c r="Q94" i="15"/>
  <c r="R94" i="15"/>
  <c r="R89" i="15"/>
  <c r="S90" i="15"/>
  <c r="Q91" i="15"/>
  <c r="R91" i="15"/>
  <c r="S92" i="15"/>
  <c r="Q93" i="15"/>
  <c r="R93" i="15"/>
  <c r="S94" i="15"/>
  <c r="H143" i="13"/>
  <c r="H175" i="13"/>
  <c r="H145" i="13"/>
  <c r="AJ97" i="5"/>
  <c r="AI100" i="5"/>
  <c r="AM100" i="5" s="1"/>
  <c r="AH101" i="5"/>
  <c r="AJ105" i="5"/>
  <c r="AR105" i="5" s="1"/>
  <c r="AI108" i="5"/>
  <c r="AM108" i="5" s="1"/>
  <c r="AH109" i="5"/>
  <c r="AJ113" i="5"/>
  <c r="AI98" i="5"/>
  <c r="AQ98" i="5" s="1"/>
  <c r="AH99" i="5"/>
  <c r="AL99" i="5" s="1"/>
  <c r="AJ103" i="5"/>
  <c r="AI106" i="5"/>
  <c r="AH107" i="5"/>
  <c r="AL107" i="5" s="1"/>
  <c r="AJ111" i="5"/>
  <c r="AR111" i="5" s="1"/>
  <c r="AI114" i="5"/>
  <c r="AH97" i="5"/>
  <c r="AL97" i="5" s="1"/>
  <c r="AJ101" i="5"/>
  <c r="AR101" i="5" s="1"/>
  <c r="AI104" i="5"/>
  <c r="AH105" i="5"/>
  <c r="AJ109" i="5"/>
  <c r="AR109" i="5" s="1"/>
  <c r="AI112" i="5"/>
  <c r="AH113" i="5"/>
  <c r="AL113" i="5" s="1"/>
  <c r="AJ99" i="5"/>
  <c r="AR99" i="5" s="1"/>
  <c r="AI102" i="5"/>
  <c r="AQ102" i="5" s="1"/>
  <c r="AH103" i="5"/>
  <c r="AL103" i="5" s="1"/>
  <c r="AJ107" i="5"/>
  <c r="AN107" i="5" s="1"/>
  <c r="AI110" i="5"/>
  <c r="AH111" i="5"/>
  <c r="AL111" i="5" s="1"/>
  <c r="AM53" i="5"/>
  <c r="AM64" i="5"/>
  <c r="AL63" i="5"/>
  <c r="AN61" i="5"/>
  <c r="AM60" i="5"/>
  <c r="AL59" i="5"/>
  <c r="AN57" i="5"/>
  <c r="AP64" i="5"/>
  <c r="AR58" i="5"/>
  <c r="AN64" i="5"/>
  <c r="AM63" i="5"/>
  <c r="AL62" i="5"/>
  <c r="AN60" i="5"/>
  <c r="AM59" i="5"/>
  <c r="AL58" i="5"/>
  <c r="AM56" i="5"/>
  <c r="AN63" i="5"/>
  <c r="AM62" i="5"/>
  <c r="AL61" i="5"/>
  <c r="AN59" i="5"/>
  <c r="AM58" i="5"/>
  <c r="AL57" i="5"/>
  <c r="AP97" i="5"/>
  <c r="D238" i="9"/>
  <c r="AL105" i="5"/>
  <c r="AP105" i="5"/>
  <c r="D246" i="9"/>
  <c r="B248" i="9"/>
  <c r="AN109" i="5"/>
  <c r="AQ112" i="5"/>
  <c r="D254" i="9"/>
  <c r="C237" i="9"/>
  <c r="AN99" i="5"/>
  <c r="AM102" i="5"/>
  <c r="C245" i="9"/>
  <c r="AM110" i="5"/>
  <c r="AQ110" i="5"/>
  <c r="AP111" i="5"/>
  <c r="C253" i="9"/>
  <c r="AQ100" i="5"/>
  <c r="AL101" i="5"/>
  <c r="AP101" i="5"/>
  <c r="D242" i="9"/>
  <c r="B244" i="9"/>
  <c r="AL109" i="5"/>
  <c r="AP109" i="5"/>
  <c r="D250" i="9"/>
  <c r="B252" i="9"/>
  <c r="AR113" i="5"/>
  <c r="AN113" i="5"/>
  <c r="AV113" i="5" s="1"/>
  <c r="AM98" i="5"/>
  <c r="AU98" i="5"/>
  <c r="C241" i="9"/>
  <c r="AN103" i="5"/>
  <c r="AV103" i="5" s="1"/>
  <c r="AR103" i="5"/>
  <c r="AM106" i="5"/>
  <c r="AQ106" i="5"/>
  <c r="AP107" i="5"/>
  <c r="AM114" i="5"/>
  <c r="AU114" i="5" s="1"/>
  <c r="AQ114" i="5"/>
  <c r="AL98" i="5"/>
  <c r="AM99" i="5"/>
  <c r="AN100" i="5"/>
  <c r="AL102" i="5"/>
  <c r="AM103" i="5"/>
  <c r="AN104" i="5"/>
  <c r="AL106" i="5"/>
  <c r="AM107" i="5"/>
  <c r="AN108" i="5"/>
  <c r="AL110" i="5"/>
  <c r="AM111" i="5"/>
  <c r="AU111" i="5" s="1"/>
  <c r="AN112" i="5"/>
  <c r="AL114" i="5"/>
  <c r="AP98" i="5"/>
  <c r="AQ99" i="5"/>
  <c r="AR100" i="5"/>
  <c r="AP102" i="5"/>
  <c r="AT102" i="5" s="1"/>
  <c r="AQ103" i="5"/>
  <c r="AR104" i="5"/>
  <c r="AP106" i="5"/>
  <c r="AQ107" i="5"/>
  <c r="AR108" i="5"/>
  <c r="AP110" i="5"/>
  <c r="AQ111" i="5"/>
  <c r="AR112" i="5"/>
  <c r="AP114" i="5"/>
  <c r="AM97" i="5"/>
  <c r="AN98" i="5"/>
  <c r="AV98" i="5" s="1"/>
  <c r="AM101" i="5"/>
  <c r="AU101" i="5" s="1"/>
  <c r="AN102" i="5"/>
  <c r="AL104" i="5"/>
  <c r="AT104" i="5" s="1"/>
  <c r="AM105" i="5"/>
  <c r="AU105" i="5" s="1"/>
  <c r="AN106" i="5"/>
  <c r="AV106" i="5" s="1"/>
  <c r="AL108" i="5"/>
  <c r="AN110" i="5"/>
  <c r="AV110" i="5" s="1"/>
  <c r="AL112" i="5"/>
  <c r="AM113" i="5"/>
  <c r="AN114" i="5"/>
  <c r="AV114" i="5" s="1"/>
  <c r="C79" i="9"/>
  <c r="AI51" i="5"/>
  <c r="AJ52" i="5"/>
  <c r="Y53" i="5"/>
  <c r="AH54" i="5"/>
  <c r="AJ48" i="5"/>
  <c r="AI49" i="5"/>
  <c r="AI55" i="5"/>
  <c r="AH50" i="5"/>
  <c r="AJ54" i="5"/>
  <c r="Y52" i="5"/>
  <c r="AD55" i="15"/>
  <c r="Y35" i="15"/>
  <c r="U35" i="15"/>
  <c r="AC35" i="15" s="1"/>
  <c r="V55" i="15"/>
  <c r="U29" i="15"/>
  <c r="AD49" i="15"/>
  <c r="AD51" i="15"/>
  <c r="Y31" i="15"/>
  <c r="Z51" i="15"/>
  <c r="AH51" i="15" s="1"/>
  <c r="U31" i="15"/>
  <c r="V51" i="15"/>
  <c r="AF47" i="15"/>
  <c r="AB47" i="15"/>
  <c r="X47" i="15"/>
  <c r="AA27" i="15"/>
  <c r="W27" i="15"/>
  <c r="AE27" i="15" s="1"/>
  <c r="AE35" i="15"/>
  <c r="AE47" i="15"/>
  <c r="W47" i="15"/>
  <c r="AA47" i="15" s="1"/>
  <c r="AF52" i="15"/>
  <c r="AA32" i="15"/>
  <c r="AE32" i="15" s="1"/>
  <c r="W32" i="15"/>
  <c r="X52" i="15"/>
  <c r="AB52" i="15" s="1"/>
  <c r="AF54" i="15"/>
  <c r="AA34" i="15"/>
  <c r="X54" i="15"/>
  <c r="AB54" i="15" s="1"/>
  <c r="W34" i="15"/>
  <c r="AE34" i="15" s="1"/>
  <c r="AF56" i="15"/>
  <c r="X56" i="15"/>
  <c r="AB56" i="15" s="1"/>
  <c r="AA36" i="15"/>
  <c r="W36" i="15"/>
  <c r="AE36" i="15" s="1"/>
  <c r="X58" i="15"/>
  <c r="AB58" i="15" s="1"/>
  <c r="AA38" i="15"/>
  <c r="AF60" i="15"/>
  <c r="X60" i="15"/>
  <c r="AB60" i="15" s="1"/>
  <c r="AJ60" i="15" s="1"/>
  <c r="AA40" i="15"/>
  <c r="W40" i="15"/>
  <c r="AE40" i="15"/>
  <c r="AF62" i="15"/>
  <c r="X62" i="15"/>
  <c r="AB62" i="15" s="1"/>
  <c r="AA42" i="15"/>
  <c r="W42" i="15"/>
  <c r="AE42" i="15" s="1"/>
  <c r="AF64" i="15"/>
  <c r="AB64" i="15"/>
  <c r="X64" i="15"/>
  <c r="AA44" i="15"/>
  <c r="W44" i="15"/>
  <c r="AE44" i="15" s="1"/>
  <c r="V47" i="15"/>
  <c r="Y27" i="15"/>
  <c r="U27" i="15"/>
  <c r="AC27" i="15" s="1"/>
  <c r="AD47" i="15"/>
  <c r="X48" i="15"/>
  <c r="AB48" i="15" s="1"/>
  <c r="AA28" i="15"/>
  <c r="W28" i="15"/>
  <c r="AF48" i="15"/>
  <c r="AE49" i="15"/>
  <c r="AA49" i="15"/>
  <c r="W49" i="15"/>
  <c r="Z29" i="15"/>
  <c r="V29" i="15"/>
  <c r="AD29" i="15" s="1"/>
  <c r="AF50" i="15"/>
  <c r="AA30" i="15"/>
  <c r="X50" i="15"/>
  <c r="W30" i="15"/>
  <c r="AE30" i="15" s="1"/>
  <c r="AB50" i="15"/>
  <c r="AJ50" i="15" s="1"/>
  <c r="W51" i="15"/>
  <c r="AA51" i="15" s="1"/>
  <c r="Z31" i="15"/>
  <c r="V31" i="15"/>
  <c r="AD31" i="15" s="1"/>
  <c r="AE51" i="15"/>
  <c r="AD53" i="15"/>
  <c r="Y33" i="15"/>
  <c r="V53" i="15"/>
  <c r="Z53" i="15" s="1"/>
  <c r="AH53" i="15" s="1"/>
  <c r="U33" i="15"/>
  <c r="W53" i="15"/>
  <c r="AA53" i="15" s="1"/>
  <c r="AI53" i="15" s="1"/>
  <c r="AE53" i="15"/>
  <c r="Z33" i="15"/>
  <c r="V33" i="15"/>
  <c r="AD33" i="15" s="1"/>
  <c r="AE55" i="15"/>
  <c r="W55" i="15"/>
  <c r="AA55" i="15" s="1"/>
  <c r="Z35" i="15"/>
  <c r="AD35" i="15" s="1"/>
  <c r="V35" i="15"/>
  <c r="V57" i="15"/>
  <c r="Z57" i="15" s="1"/>
  <c r="AD57" i="15"/>
  <c r="Y37" i="15"/>
  <c r="U37" i="15"/>
  <c r="AC37" i="15" s="1"/>
  <c r="AE57" i="15"/>
  <c r="AA57" i="15"/>
  <c r="W57" i="15"/>
  <c r="Z37" i="15"/>
  <c r="V37" i="15"/>
  <c r="AD37" i="15" s="1"/>
  <c r="V59" i="15"/>
  <c r="AD59" i="15"/>
  <c r="Y39" i="15"/>
  <c r="U39" i="15"/>
  <c r="AC39" i="15" s="1"/>
  <c r="AE59" i="15"/>
  <c r="W59" i="15"/>
  <c r="AA59" i="15" s="1"/>
  <c r="AD39" i="15"/>
  <c r="Z39" i="15"/>
  <c r="V39" i="15"/>
  <c r="V61" i="15"/>
  <c r="Z61" i="15" s="1"/>
  <c r="AH61" i="15" s="1"/>
  <c r="AD61" i="15"/>
  <c r="Y41" i="15"/>
  <c r="U41" i="15"/>
  <c r="AC41" i="15"/>
  <c r="AE61" i="15"/>
  <c r="W61" i="15"/>
  <c r="AA61" i="15" s="1"/>
  <c r="AD41" i="15"/>
  <c r="Z41" i="15"/>
  <c r="V41" i="15"/>
  <c r="V63" i="15"/>
  <c r="AD63" i="15"/>
  <c r="Y43" i="15"/>
  <c r="AC43" i="15" s="1"/>
  <c r="U43" i="15"/>
  <c r="AE63" i="15"/>
  <c r="AA63" i="15"/>
  <c r="W63" i="15"/>
  <c r="Z43" i="15"/>
  <c r="V43" i="15"/>
  <c r="AD43" i="15" s="1"/>
  <c r="U28" i="15"/>
  <c r="Z28" i="15"/>
  <c r="W29" i="15"/>
  <c r="AE29" i="15" s="1"/>
  <c r="U30" i="15"/>
  <c r="Z30" i="15"/>
  <c r="AD30" i="15" s="1"/>
  <c r="W31" i="15"/>
  <c r="U32" i="15"/>
  <c r="AC32" i="15" s="1"/>
  <c r="Z32" i="15"/>
  <c r="W33" i="15"/>
  <c r="U34" i="15"/>
  <c r="Z34" i="15"/>
  <c r="AD34" i="15" s="1"/>
  <c r="W35" i="15"/>
  <c r="U36" i="15"/>
  <c r="Z36" i="15"/>
  <c r="AD36" i="15" s="1"/>
  <c r="W37" i="15"/>
  <c r="U38" i="15"/>
  <c r="Z38" i="15"/>
  <c r="AD38" i="15" s="1"/>
  <c r="W39" i="15"/>
  <c r="U40" i="15"/>
  <c r="AC40" i="15" s="1"/>
  <c r="Z40" i="15"/>
  <c r="AD40" i="15" s="1"/>
  <c r="W41" i="15"/>
  <c r="U42" i="15"/>
  <c r="Z42" i="15"/>
  <c r="AD42" i="15" s="1"/>
  <c r="W43" i="15"/>
  <c r="U44" i="15"/>
  <c r="Z44" i="15"/>
  <c r="AD44" i="15" s="1"/>
  <c r="W48" i="15"/>
  <c r="AA48" i="15" s="1"/>
  <c r="X97" i="15"/>
  <c r="AA77" i="15"/>
  <c r="W77" i="15"/>
  <c r="AE77" i="15" s="1"/>
  <c r="AF97" i="15"/>
  <c r="AB97" i="15"/>
  <c r="Y78" i="15"/>
  <c r="AD98" i="15"/>
  <c r="U78" i="15"/>
  <c r="V98" i="15"/>
  <c r="Z98" i="15" s="1"/>
  <c r="AH98" i="15" s="1"/>
  <c r="W98" i="15"/>
  <c r="AA98" i="15" s="1"/>
  <c r="AI98" i="15" s="1"/>
  <c r="Z78" i="15"/>
  <c r="AE98" i="15"/>
  <c r="V78" i="15"/>
  <c r="AD78" i="15" s="1"/>
  <c r="AF99" i="15"/>
  <c r="AA79" i="15"/>
  <c r="W79" i="15"/>
  <c r="AE79" i="15" s="1"/>
  <c r="X99" i="15"/>
  <c r="AB99" i="15" s="1"/>
  <c r="AJ99" i="15" s="1"/>
  <c r="Y80" i="15"/>
  <c r="V100" i="15"/>
  <c r="Z100" i="15" s="1"/>
  <c r="U80" i="15"/>
  <c r="AC80" i="15" s="1"/>
  <c r="AD100" i="15"/>
  <c r="AE100" i="15"/>
  <c r="Z80" i="15"/>
  <c r="W100" i="15"/>
  <c r="AA100" i="15" s="1"/>
  <c r="AI100" i="15" s="1"/>
  <c r="V80" i="15"/>
  <c r="X101" i="15"/>
  <c r="AA81" i="15"/>
  <c r="W81" i="15"/>
  <c r="AF101" i="15"/>
  <c r="AB101" i="15"/>
  <c r="AE81" i="15"/>
  <c r="Y82" i="15"/>
  <c r="AC82" i="15" s="1"/>
  <c r="AD102" i="15"/>
  <c r="U82" i="15"/>
  <c r="Z102" i="15"/>
  <c r="AH102" i="15" s="1"/>
  <c r="V102" i="15"/>
  <c r="W102" i="15"/>
  <c r="Z82" i="15"/>
  <c r="AD82" i="15" s="1"/>
  <c r="AE102" i="15"/>
  <c r="V82" i="15"/>
  <c r="AA102" i="15"/>
  <c r="AF103" i="15"/>
  <c r="AA83" i="15"/>
  <c r="W83" i="15"/>
  <c r="X103" i="15"/>
  <c r="AB103" i="15" s="1"/>
  <c r="Y84" i="15"/>
  <c r="V104" i="15"/>
  <c r="Z104" i="15" s="1"/>
  <c r="AH104" i="15" s="1"/>
  <c r="U84" i="15"/>
  <c r="AD104" i="15"/>
  <c r="AC84" i="15"/>
  <c r="AE104" i="15"/>
  <c r="Z84" i="15"/>
  <c r="W104" i="15"/>
  <c r="AA104" i="15" s="1"/>
  <c r="V84" i="15"/>
  <c r="AD84" i="15" s="1"/>
  <c r="X105" i="15"/>
  <c r="AA85" i="15"/>
  <c r="W85" i="15"/>
  <c r="AE85" i="15" s="1"/>
  <c r="AF105" i="15"/>
  <c r="AB105" i="15"/>
  <c r="Y86" i="15"/>
  <c r="AD106" i="15"/>
  <c r="U86" i="15"/>
  <c r="V106" i="15"/>
  <c r="Z106" i="15" s="1"/>
  <c r="AH106" i="15" s="1"/>
  <c r="W106" i="15"/>
  <c r="AA106" i="15" s="1"/>
  <c r="AI106" i="15" s="1"/>
  <c r="Z86" i="15"/>
  <c r="AE106" i="15"/>
  <c r="V86" i="15"/>
  <c r="AD86" i="15" s="1"/>
  <c r="AF107" i="15"/>
  <c r="AA87" i="15"/>
  <c r="W87" i="15"/>
  <c r="AE87" i="15" s="1"/>
  <c r="X107" i="15"/>
  <c r="AB107" i="15" s="1"/>
  <c r="AJ107" i="15" s="1"/>
  <c r="Y88" i="15"/>
  <c r="V108" i="15"/>
  <c r="Z108" i="15" s="1"/>
  <c r="U88" i="15"/>
  <c r="AC88" i="15" s="1"/>
  <c r="AD108" i="15"/>
  <c r="AE108" i="15"/>
  <c r="Z88" i="15"/>
  <c r="W108" i="15"/>
  <c r="AA108" i="15" s="1"/>
  <c r="AI108" i="15" s="1"/>
  <c r="V88" i="15"/>
  <c r="X109" i="15"/>
  <c r="AA89" i="15"/>
  <c r="W89" i="15"/>
  <c r="AF109" i="15"/>
  <c r="AB109" i="15"/>
  <c r="AJ109" i="15" s="1"/>
  <c r="AE89" i="15"/>
  <c r="Y90" i="15"/>
  <c r="AD110" i="15"/>
  <c r="U90" i="15"/>
  <c r="Z110" i="15"/>
  <c r="AH110" i="15" s="1"/>
  <c r="V110" i="15"/>
  <c r="W110" i="15"/>
  <c r="Z90" i="15"/>
  <c r="AD90" i="15" s="1"/>
  <c r="AE110" i="15"/>
  <c r="V90" i="15"/>
  <c r="AA110" i="15"/>
  <c r="AF111" i="15"/>
  <c r="AA91" i="15"/>
  <c r="W91" i="15"/>
  <c r="X111" i="15"/>
  <c r="AB111" i="15" s="1"/>
  <c r="Y92" i="15"/>
  <c r="V112" i="15"/>
  <c r="Z112" i="15" s="1"/>
  <c r="AH112" i="15" s="1"/>
  <c r="U92" i="15"/>
  <c r="AD112" i="15"/>
  <c r="AC92" i="15"/>
  <c r="AE112" i="15"/>
  <c r="Z92" i="15"/>
  <c r="W112" i="15"/>
  <c r="AA112" i="15" s="1"/>
  <c r="V92" i="15"/>
  <c r="AD92" i="15" s="1"/>
  <c r="X113" i="15"/>
  <c r="AA93" i="15"/>
  <c r="W93" i="15"/>
  <c r="AE93" i="15" s="1"/>
  <c r="AF113" i="15"/>
  <c r="AB113" i="15"/>
  <c r="Y94" i="15"/>
  <c r="AD114" i="15"/>
  <c r="U94" i="15"/>
  <c r="AC94" i="15" s="1"/>
  <c r="V114" i="15"/>
  <c r="Z114" i="15" s="1"/>
  <c r="AH114" i="15" s="1"/>
  <c r="W114" i="15"/>
  <c r="AA114" i="15" s="1"/>
  <c r="AI114" i="15" s="1"/>
  <c r="Z94" i="15"/>
  <c r="AE114" i="15"/>
  <c r="V94" i="15"/>
  <c r="AD94" i="15" s="1"/>
  <c r="Y28" i="15"/>
  <c r="AC28" i="15" s="1"/>
  <c r="AA29" i="15"/>
  <c r="Y30" i="15"/>
  <c r="AC30" i="15" s="1"/>
  <c r="AA31" i="15"/>
  <c r="AE31" i="15" s="1"/>
  <c r="Y32" i="15"/>
  <c r="AA33" i="15"/>
  <c r="AE33" i="15" s="1"/>
  <c r="Y34" i="15"/>
  <c r="AC34" i="15" s="1"/>
  <c r="AA35" i="15"/>
  <c r="Y36" i="15"/>
  <c r="AA37" i="15"/>
  <c r="Y38" i="15"/>
  <c r="AA39" i="15"/>
  <c r="Y40" i="15"/>
  <c r="AA41" i="15"/>
  <c r="Y42" i="15"/>
  <c r="AA43" i="15"/>
  <c r="Y44" i="15"/>
  <c r="V48" i="15"/>
  <c r="Y48" i="15" s="1"/>
  <c r="X49" i="15"/>
  <c r="AB49" i="15" s="1"/>
  <c r="AJ49" i="15" s="1"/>
  <c r="V52" i="15"/>
  <c r="Z52" i="15" s="1"/>
  <c r="AH52" i="15" s="1"/>
  <c r="X53" i="15"/>
  <c r="W50" i="15"/>
  <c r="AA50" i="15" s="1"/>
  <c r="AI50" i="15" s="1"/>
  <c r="W52" i="15"/>
  <c r="AA52" i="15" s="1"/>
  <c r="W54" i="15"/>
  <c r="AA54" i="15" s="1"/>
  <c r="AI54" i="15" s="1"/>
  <c r="AE56" i="15"/>
  <c r="AA56" i="15"/>
  <c r="W56" i="15"/>
  <c r="AE58" i="15"/>
  <c r="W58" i="15"/>
  <c r="AA58" i="15" s="1"/>
  <c r="AI58" i="15" s="1"/>
  <c r="AE60" i="15"/>
  <c r="W60" i="15"/>
  <c r="AA60" i="15" s="1"/>
  <c r="AE62" i="15"/>
  <c r="AA62" i="15"/>
  <c r="W62" i="15"/>
  <c r="AE64" i="15"/>
  <c r="W64" i="15"/>
  <c r="AA64" i="15" s="1"/>
  <c r="AI64" i="15" s="1"/>
  <c r="AB55" i="15"/>
  <c r="AJ55" i="15" s="1"/>
  <c r="X55" i="15"/>
  <c r="AF55" i="15"/>
  <c r="V56" i="15"/>
  <c r="Y56" i="15" s="1"/>
  <c r="AD56" i="15"/>
  <c r="AF57" i="15"/>
  <c r="X57" i="15"/>
  <c r="AB57" i="15" s="1"/>
  <c r="AJ57" i="15" s="1"/>
  <c r="V58" i="15"/>
  <c r="Z58" i="15" s="1"/>
  <c r="AH58" i="15" s="1"/>
  <c r="AD58" i="15"/>
  <c r="AF59" i="15"/>
  <c r="X59" i="15"/>
  <c r="AB59" i="15" s="1"/>
  <c r="AJ59" i="15" s="1"/>
  <c r="V60" i="15"/>
  <c r="AD60" i="15"/>
  <c r="AF61" i="15"/>
  <c r="AB61" i="15"/>
  <c r="AJ61" i="15" s="1"/>
  <c r="X61" i="15"/>
  <c r="V62" i="15"/>
  <c r="Z62" i="15" s="1"/>
  <c r="AD62" i="15"/>
  <c r="AF63" i="15"/>
  <c r="X63" i="15"/>
  <c r="AB63" i="15" s="1"/>
  <c r="V64" i="15"/>
  <c r="AD64" i="15"/>
  <c r="AD97" i="15"/>
  <c r="V97" i="15"/>
  <c r="Z97" i="15" s="1"/>
  <c r="AH97" i="15" s="1"/>
  <c r="Y77" i="15"/>
  <c r="U77" i="15"/>
  <c r="V77" i="15"/>
  <c r="AE97" i="15"/>
  <c r="AD77" i="15"/>
  <c r="W97" i="15"/>
  <c r="AA97" i="15" s="1"/>
  <c r="AI97" i="15" s="1"/>
  <c r="Z77" i="15"/>
  <c r="X98" i="15"/>
  <c r="AB98" i="15" s="1"/>
  <c r="AA78" i="15"/>
  <c r="AF98" i="15"/>
  <c r="W78" i="15"/>
  <c r="V99" i="15"/>
  <c r="Z99" i="15" s="1"/>
  <c r="AH99" i="15" s="1"/>
  <c r="AD99" i="15"/>
  <c r="Y79" i="15"/>
  <c r="U79" i="15"/>
  <c r="V79" i="15"/>
  <c r="AD79" i="15" s="1"/>
  <c r="W99" i="15"/>
  <c r="AA99" i="15" s="1"/>
  <c r="AI99" i="15" s="1"/>
  <c r="AE99" i="15"/>
  <c r="Z79" i="15"/>
  <c r="AF100" i="15"/>
  <c r="AA80" i="15"/>
  <c r="X100" i="15"/>
  <c r="AB100" i="15" s="1"/>
  <c r="W80" i="15"/>
  <c r="AD101" i="15"/>
  <c r="Z101" i="15"/>
  <c r="V101" i="15"/>
  <c r="Y81" i="15"/>
  <c r="U81" i="15"/>
  <c r="AC81" i="15" s="1"/>
  <c r="V81" i="15"/>
  <c r="AD81" i="15" s="1"/>
  <c r="AE101" i="15"/>
  <c r="W101" i="15"/>
  <c r="AA101" i="15" s="1"/>
  <c r="AI101" i="15" s="1"/>
  <c r="Z81" i="15"/>
  <c r="X102" i="15"/>
  <c r="AB102" i="15" s="1"/>
  <c r="AA82" i="15"/>
  <c r="AF102" i="15"/>
  <c r="W82" i="15"/>
  <c r="AE82" i="15" s="1"/>
  <c r="V103" i="15"/>
  <c r="AD103" i="15"/>
  <c r="Y83" i="15"/>
  <c r="Z103" i="15"/>
  <c r="AH103" i="15" s="1"/>
  <c r="U83" i="15"/>
  <c r="V83" i="15"/>
  <c r="W103" i="15"/>
  <c r="AA103" i="15" s="1"/>
  <c r="AI103" i="15" s="1"/>
  <c r="AE103" i="15"/>
  <c r="Z83" i="15"/>
  <c r="AF104" i="15"/>
  <c r="AA84" i="15"/>
  <c r="X104" i="15"/>
  <c r="AB104" i="15" s="1"/>
  <c r="AJ104" i="15" s="1"/>
  <c r="W84" i="15"/>
  <c r="AD105" i="15"/>
  <c r="Z105" i="15"/>
  <c r="AH105" i="15" s="1"/>
  <c r="V105" i="15"/>
  <c r="Y85" i="15"/>
  <c r="U85" i="15"/>
  <c r="AC85" i="15" s="1"/>
  <c r="V85" i="15"/>
  <c r="AD85" i="15" s="1"/>
  <c r="AE105" i="15"/>
  <c r="W105" i="15"/>
  <c r="AA105" i="15" s="1"/>
  <c r="Z85" i="15"/>
  <c r="X106" i="15"/>
  <c r="AB106" i="15" s="1"/>
  <c r="AJ106" i="15" s="1"/>
  <c r="AA86" i="15"/>
  <c r="AF106" i="15"/>
  <c r="W86" i="15"/>
  <c r="AE86" i="15" s="1"/>
  <c r="V107" i="15"/>
  <c r="AD107" i="15"/>
  <c r="Y87" i="15"/>
  <c r="Z107" i="15"/>
  <c r="AH107" i="15" s="1"/>
  <c r="U87" i="15"/>
  <c r="AC87" i="15" s="1"/>
  <c r="V87" i="15"/>
  <c r="W107" i="15"/>
  <c r="AA107" i="15" s="1"/>
  <c r="AE107" i="15"/>
  <c r="Z87" i="15"/>
  <c r="AF108" i="15"/>
  <c r="AA88" i="15"/>
  <c r="X108" i="15"/>
  <c r="AB108" i="15" s="1"/>
  <c r="AJ108" i="15" s="1"/>
  <c r="W88" i="15"/>
  <c r="AE88" i="15" s="1"/>
  <c r="AD109" i="15"/>
  <c r="V109" i="15"/>
  <c r="Z109" i="15" s="1"/>
  <c r="AH109" i="15" s="1"/>
  <c r="Y89" i="15"/>
  <c r="U89" i="15"/>
  <c r="V89" i="15"/>
  <c r="AE109" i="15"/>
  <c r="AD89" i="15"/>
  <c r="W109" i="15"/>
  <c r="AA109" i="15" s="1"/>
  <c r="Z89" i="15"/>
  <c r="X110" i="15"/>
  <c r="AB110" i="15" s="1"/>
  <c r="AJ110" i="15" s="1"/>
  <c r="AA90" i="15"/>
  <c r="AF110" i="15"/>
  <c r="W90" i="15"/>
  <c r="V111" i="15"/>
  <c r="Z111" i="15" s="1"/>
  <c r="AH111" i="15" s="1"/>
  <c r="AD111" i="15"/>
  <c r="Y91" i="15"/>
  <c r="U91" i="15"/>
  <c r="AC91" i="15" s="1"/>
  <c r="V91" i="15"/>
  <c r="AD91" i="15" s="1"/>
  <c r="W111" i="15"/>
  <c r="AA111" i="15" s="1"/>
  <c r="AI111" i="15" s="1"/>
  <c r="AE111" i="15"/>
  <c r="Z91" i="15"/>
  <c r="AF112" i="15"/>
  <c r="AA92" i="15"/>
  <c r="X112" i="15"/>
  <c r="AB112" i="15" s="1"/>
  <c r="W92" i="15"/>
  <c r="AD113" i="15"/>
  <c r="Z113" i="15"/>
  <c r="V113" i="15"/>
  <c r="Y93" i="15"/>
  <c r="U93" i="15"/>
  <c r="AC93" i="15" s="1"/>
  <c r="V93" i="15"/>
  <c r="AD93" i="15" s="1"/>
  <c r="AE113" i="15"/>
  <c r="W113" i="15"/>
  <c r="AA113" i="15" s="1"/>
  <c r="AI113" i="15" s="1"/>
  <c r="Z93" i="15"/>
  <c r="X114" i="15"/>
  <c r="AB114" i="15" s="1"/>
  <c r="AA94" i="15"/>
  <c r="AF114" i="15"/>
  <c r="W94" i="15"/>
  <c r="AE94" i="15" s="1"/>
  <c r="V50" i="15"/>
  <c r="AE50" i="15"/>
  <c r="X51" i="15"/>
  <c r="AB51" i="15" s="1"/>
  <c r="AJ51" i="15" s="1"/>
  <c r="AB53" i="15"/>
  <c r="AJ53" i="15" s="1"/>
  <c r="V54" i="15"/>
  <c r="Y54" i="15" s="1"/>
  <c r="AE54" i="15"/>
  <c r="E52" i="14"/>
  <c r="F52" i="14" s="1"/>
  <c r="E51" i="14"/>
  <c r="F51" i="14" s="1"/>
  <c r="AB62" i="5"/>
  <c r="AJ62" i="5" s="1"/>
  <c r="AA57" i="5"/>
  <c r="AI57" i="5" s="1"/>
  <c r="Z52" i="5"/>
  <c r="AH52" i="5" s="1"/>
  <c r="Y62" i="5"/>
  <c r="Y58" i="5"/>
  <c r="Y54" i="5"/>
  <c r="Y50" i="5"/>
  <c r="AA61" i="5"/>
  <c r="AI61" i="5" s="1"/>
  <c r="Z56" i="5"/>
  <c r="AH56" i="5" s="1"/>
  <c r="AB50" i="5"/>
  <c r="AJ50" i="5" s="1"/>
  <c r="Z48" i="5"/>
  <c r="AH48" i="5" s="1"/>
  <c r="Z60" i="5"/>
  <c r="AH60" i="5" s="1"/>
  <c r="Z47" i="5"/>
  <c r="C56" i="9"/>
  <c r="B87" i="9"/>
  <c r="D53" i="9"/>
  <c r="D57" i="9"/>
  <c r="C52" i="9"/>
  <c r="D52" i="9"/>
  <c r="AU64" i="5"/>
  <c r="B57" i="9"/>
  <c r="AV61" i="5"/>
  <c r="AU60" i="5"/>
  <c r="AV57" i="5"/>
  <c r="AV64" i="5"/>
  <c r="AU63" i="5"/>
  <c r="AT62" i="5"/>
  <c r="D54" i="9"/>
  <c r="B52" i="9"/>
  <c r="C50" i="9"/>
  <c r="B89" i="9"/>
  <c r="B90" i="9"/>
  <c r="D84" i="9"/>
  <c r="D85" i="9"/>
  <c r="C90" i="9"/>
  <c r="B85" i="9"/>
  <c r="D83" i="9"/>
  <c r="C85" i="9"/>
  <c r="C88" i="9"/>
  <c r="B83" i="9"/>
  <c r="D90" i="9"/>
  <c r="C89" i="9"/>
  <c r="B88" i="9"/>
  <c r="D86" i="9"/>
  <c r="B84" i="9"/>
  <c r="D87" i="9"/>
  <c r="D89" i="9"/>
  <c r="C84" i="9"/>
  <c r="C86" i="9"/>
  <c r="B58" i="9"/>
  <c r="AT64" i="5"/>
  <c r="C58" i="9"/>
  <c r="D55" i="9"/>
  <c r="B53" i="9"/>
  <c r="AT63" i="5"/>
  <c r="D58" i="9"/>
  <c r="C53" i="9"/>
  <c r="AU59" i="5"/>
  <c r="B51" i="9"/>
  <c r="E45" i="14"/>
  <c r="F45" i="14" s="1"/>
  <c r="E48" i="14"/>
  <c r="F48" i="14" s="1"/>
  <c r="F27" i="14"/>
  <c r="B27" i="14"/>
  <c r="B28" i="14" s="1"/>
  <c r="E9" i="14"/>
  <c r="P14" i="14"/>
  <c r="E13" i="14"/>
  <c r="F13" i="14" s="1"/>
  <c r="E14" i="14"/>
  <c r="F14" i="14" s="1"/>
  <c r="E24" i="14"/>
  <c r="F24" i="14" s="1"/>
  <c r="E26" i="14"/>
  <c r="F26" i="14" s="1"/>
  <c r="E41" i="14"/>
  <c r="E49" i="14"/>
  <c r="F49" i="14" s="1"/>
  <c r="E57" i="14"/>
  <c r="F57" i="14" s="1"/>
  <c r="E12" i="14"/>
  <c r="F12" i="14" s="1"/>
  <c r="L12" i="14"/>
  <c r="L75" i="14"/>
  <c r="E46" i="14"/>
  <c r="F46" i="14" s="1"/>
  <c r="E47" i="14"/>
  <c r="F47" i="14" s="1"/>
  <c r="E55" i="14"/>
  <c r="F55" i="14" s="1"/>
  <c r="L43" i="14"/>
  <c r="L45" i="14"/>
  <c r="E15" i="14"/>
  <c r="F15" i="14" s="1"/>
  <c r="E11" i="14"/>
  <c r="F11" i="14" s="1"/>
  <c r="E18" i="14"/>
  <c r="F18" i="14" s="1"/>
  <c r="L46" i="14"/>
  <c r="D60" i="14"/>
  <c r="L77" i="14"/>
  <c r="L79" i="14"/>
  <c r="L107" i="14"/>
  <c r="L108" i="14"/>
  <c r="L110" i="14"/>
  <c r="L109" i="14"/>
  <c r="E42" i="14"/>
  <c r="F42" i="14" s="1"/>
  <c r="E20" i="14"/>
  <c r="F20" i="14" s="1"/>
  <c r="E25" i="14"/>
  <c r="F25" i="14" s="1"/>
  <c r="L44" i="14"/>
  <c r="L76" i="14"/>
  <c r="E56" i="14"/>
  <c r="F56" i="14" s="1"/>
  <c r="E43" i="14"/>
  <c r="F43" i="14" s="1"/>
  <c r="E44" i="14"/>
  <c r="F44" i="14" s="1"/>
  <c r="H47" i="14"/>
  <c r="L47" i="14" s="1"/>
  <c r="E53" i="14"/>
  <c r="F53" i="14" s="1"/>
  <c r="H111" i="14"/>
  <c r="L111" i="14" s="1"/>
  <c r="L13" i="14"/>
  <c r="C60" i="14"/>
  <c r="L78" i="14"/>
  <c r="C47" i="9"/>
  <c r="AU53" i="5"/>
  <c r="AH55" i="5"/>
  <c r="AJ53" i="5"/>
  <c r="AI52" i="5"/>
  <c r="AH51" i="5"/>
  <c r="AJ49" i="5"/>
  <c r="AI48" i="5"/>
  <c r="AJ55" i="5"/>
  <c r="AI54" i="5"/>
  <c r="AH53" i="5"/>
  <c r="AJ51" i="5"/>
  <c r="AI50" i="5"/>
  <c r="AH49" i="5"/>
  <c r="AJ56" i="5"/>
  <c r="AI47" i="5"/>
  <c r="AJ47" i="5"/>
  <c r="AH47" i="5"/>
  <c r="L115" i="13"/>
  <c r="H114" i="13"/>
  <c r="H112" i="13"/>
  <c r="H111" i="13"/>
  <c r="H113" i="13" s="1"/>
  <c r="H110" i="13"/>
  <c r="H109" i="13"/>
  <c r="L109" i="13" s="1"/>
  <c r="L83" i="13"/>
  <c r="H82" i="13"/>
  <c r="H80" i="13"/>
  <c r="L80" i="13" s="1"/>
  <c r="H79" i="13"/>
  <c r="H78" i="13"/>
  <c r="H77" i="13"/>
  <c r="L49" i="13"/>
  <c r="H48" i="13"/>
  <c r="H46" i="13"/>
  <c r="L46" i="13" s="1"/>
  <c r="H45" i="13"/>
  <c r="H44" i="13"/>
  <c r="L44" i="13" s="1"/>
  <c r="H43" i="13"/>
  <c r="Y19" i="13"/>
  <c r="Y18" i="13"/>
  <c r="Y17" i="13"/>
  <c r="L17" i="13"/>
  <c r="Y16" i="13"/>
  <c r="H16" i="13"/>
  <c r="Y15" i="13"/>
  <c r="H15" i="13"/>
  <c r="L15" i="13" s="1"/>
  <c r="H14" i="13"/>
  <c r="H13" i="13"/>
  <c r="L13" i="13" s="1"/>
  <c r="H12" i="13"/>
  <c r="H11" i="13"/>
  <c r="L11" i="13" s="1"/>
  <c r="F29" i="11"/>
  <c r="E29" i="11"/>
  <c r="Q10" i="9" l="1"/>
  <c r="P18" i="9"/>
  <c r="P15" i="9"/>
  <c r="E27" i="9"/>
  <c r="B29" i="9" s="1"/>
  <c r="B30" i="9" s="1"/>
  <c r="B31" i="9"/>
  <c r="I12" i="9" s="1"/>
  <c r="P9" i="9"/>
  <c r="P13" i="9"/>
  <c r="Q21" i="9" s="1"/>
  <c r="D30" i="9"/>
  <c r="I11" i="9" s="1"/>
  <c r="J11" i="9" s="1"/>
  <c r="B28" i="9"/>
  <c r="P17" i="9"/>
  <c r="Q17" i="9" s="1"/>
  <c r="I14" i="9"/>
  <c r="J14" i="9" s="1"/>
  <c r="AE92" i="15"/>
  <c r="AE90" i="15"/>
  <c r="AI107" i="15"/>
  <c r="AI105" i="15"/>
  <c r="AQ105" i="15" s="1"/>
  <c r="AD83" i="15"/>
  <c r="AE80" i="15"/>
  <c r="AC79" i="15"/>
  <c r="AJ98" i="15"/>
  <c r="AR98" i="15" s="1"/>
  <c r="Y64" i="15"/>
  <c r="Z56" i="15"/>
  <c r="AH56" i="15" s="1"/>
  <c r="AI112" i="15"/>
  <c r="AJ111" i="15"/>
  <c r="AR111" i="15" s="1"/>
  <c r="AI110" i="15"/>
  <c r="AC90" i="15"/>
  <c r="AH108" i="15"/>
  <c r="AC86" i="15"/>
  <c r="AI104" i="15"/>
  <c r="AJ103" i="15"/>
  <c r="AI102" i="15"/>
  <c r="AH100" i="15"/>
  <c r="AP100" i="15" s="1"/>
  <c r="AC78" i="15"/>
  <c r="AC42" i="15"/>
  <c r="AE39" i="15"/>
  <c r="AD28" i="15"/>
  <c r="Y63" i="15"/>
  <c r="AT107" i="5"/>
  <c r="W38" i="15"/>
  <c r="AE38" i="15" s="1"/>
  <c r="AF58" i="15"/>
  <c r="AJ58" i="15" s="1"/>
  <c r="Z27" i="15"/>
  <c r="V27" i="15"/>
  <c r="AE37" i="15"/>
  <c r="AQ109" i="5"/>
  <c r="AM109" i="5"/>
  <c r="AU109" i="5" s="1"/>
  <c r="AP100" i="5"/>
  <c r="AL100" i="5"/>
  <c r="H17" i="13"/>
  <c r="L172" i="13"/>
  <c r="L170" i="13"/>
  <c r="L142" i="13"/>
  <c r="L139" i="13"/>
  <c r="L171" i="13"/>
  <c r="L169" i="13"/>
  <c r="L173" i="13"/>
  <c r="L140" i="13"/>
  <c r="L113" i="13"/>
  <c r="Y50" i="15"/>
  <c r="AJ114" i="15"/>
  <c r="AJ112" i="15"/>
  <c r="AI109" i="15"/>
  <c r="AC89" i="15"/>
  <c r="AD87" i="15"/>
  <c r="AE84" i="15"/>
  <c r="AC83" i="15"/>
  <c r="AJ102" i="15"/>
  <c r="AR102" i="15" s="1"/>
  <c r="AJ100" i="15"/>
  <c r="AE78" i="15"/>
  <c r="Z64" i="15"/>
  <c r="AH64" i="15" s="1"/>
  <c r="AP64" i="15" s="1"/>
  <c r="AH62" i="15"/>
  <c r="AP62" i="15" s="1"/>
  <c r="AI60" i="15"/>
  <c r="Z54" i="15"/>
  <c r="AH54" i="15" s="1"/>
  <c r="AE91" i="15"/>
  <c r="AD88" i="15"/>
  <c r="AE83" i="15"/>
  <c r="AD80" i="15"/>
  <c r="AC44" i="15"/>
  <c r="AE41" i="15"/>
  <c r="AC36" i="15"/>
  <c r="AH57" i="15"/>
  <c r="AC33" i="15"/>
  <c r="AI51" i="15"/>
  <c r="AQ51" i="15" s="1"/>
  <c r="AE28" i="15"/>
  <c r="AI47" i="15"/>
  <c r="AM104" i="5"/>
  <c r="AQ104" i="5"/>
  <c r="AU104" i="5" s="1"/>
  <c r="AR97" i="5"/>
  <c r="AN97" i="5"/>
  <c r="V49" i="15"/>
  <c r="Z49" i="15" s="1"/>
  <c r="AH49" i="15" s="1"/>
  <c r="AC29" i="15"/>
  <c r="Y29" i="15"/>
  <c r="L14" i="13"/>
  <c r="L43" i="13"/>
  <c r="H47" i="13"/>
  <c r="L47" i="13" s="1"/>
  <c r="L77" i="13"/>
  <c r="H81" i="13"/>
  <c r="L81" i="13" s="1"/>
  <c r="L112" i="13"/>
  <c r="AH113" i="15"/>
  <c r="AH101" i="15"/>
  <c r="AC77" i="15"/>
  <c r="AJ63" i="15"/>
  <c r="AN63" i="15" s="1"/>
  <c r="Y60" i="15"/>
  <c r="AI56" i="15"/>
  <c r="AI52" i="15"/>
  <c r="AQ52" i="15" s="1"/>
  <c r="AJ113" i="15"/>
  <c r="AE43" i="15"/>
  <c r="AC38" i="15"/>
  <c r="Y59" i="15"/>
  <c r="AI49" i="15"/>
  <c r="AJ56" i="15"/>
  <c r="L141" i="13"/>
  <c r="Y47" i="15"/>
  <c r="AJ54" i="15"/>
  <c r="AN54" i="15" s="1"/>
  <c r="AJ52" i="15"/>
  <c r="AN105" i="5"/>
  <c r="AP103" i="5"/>
  <c r="AN101" i="5"/>
  <c r="AV101" i="5" s="1"/>
  <c r="AT111" i="5"/>
  <c r="L143" i="13"/>
  <c r="AJ64" i="15"/>
  <c r="AV64" i="15" s="1"/>
  <c r="AJ62" i="15"/>
  <c r="AR62" i="15" s="1"/>
  <c r="AC31" i="15"/>
  <c r="AE52" i="15"/>
  <c r="V32" i="15"/>
  <c r="AD32" i="15" s="1"/>
  <c r="AE48" i="15"/>
  <c r="AI48" i="15" s="1"/>
  <c r="V28" i="15"/>
  <c r="H17" i="14"/>
  <c r="AR107" i="5"/>
  <c r="D247" i="9" s="1"/>
  <c r="AP113" i="5"/>
  <c r="AU108" i="5"/>
  <c r="C280" i="9" s="1"/>
  <c r="AU106" i="5"/>
  <c r="AQ108" i="5"/>
  <c r="AV109" i="5"/>
  <c r="AU110" i="5"/>
  <c r="AT105" i="5"/>
  <c r="AT109" i="5"/>
  <c r="AU100" i="5"/>
  <c r="AV97" i="5"/>
  <c r="D269" i="9" s="1"/>
  <c r="AT114" i="5"/>
  <c r="B286" i="9" s="1"/>
  <c r="AN111" i="5"/>
  <c r="AV111" i="5" s="1"/>
  <c r="AP99" i="5"/>
  <c r="AT103" i="5"/>
  <c r="AV105" i="5"/>
  <c r="D277" i="9" s="1"/>
  <c r="AT98" i="5"/>
  <c r="AM112" i="5"/>
  <c r="AU112" i="5" s="1"/>
  <c r="AU107" i="5"/>
  <c r="AV108" i="5"/>
  <c r="AT99" i="5"/>
  <c r="AT101" i="5"/>
  <c r="B273" i="9" s="1"/>
  <c r="AV99" i="5"/>
  <c r="D271" i="9" s="1"/>
  <c r="AN47" i="5"/>
  <c r="AR47" i="5"/>
  <c r="AM50" i="5"/>
  <c r="AQ50" i="5"/>
  <c r="AN55" i="5"/>
  <c r="AR55" i="5"/>
  <c r="AN49" i="5"/>
  <c r="AR49" i="5"/>
  <c r="AL55" i="5"/>
  <c r="AP55" i="5"/>
  <c r="AL60" i="5"/>
  <c r="B54" i="9" s="1"/>
  <c r="AP60" i="5"/>
  <c r="B86" i="9" s="1"/>
  <c r="AM61" i="5"/>
  <c r="AQ61" i="5"/>
  <c r="C87" i="9" s="1"/>
  <c r="AL50" i="5"/>
  <c r="B44" i="9" s="1"/>
  <c r="AP50" i="5"/>
  <c r="B76" i="9" s="1"/>
  <c r="AL54" i="5"/>
  <c r="B48" i="9" s="1"/>
  <c r="AP54" i="5"/>
  <c r="AL47" i="5"/>
  <c r="AP47" i="5"/>
  <c r="AL49" i="5"/>
  <c r="AP49" i="5"/>
  <c r="AM54" i="5"/>
  <c r="AQ54" i="5"/>
  <c r="AU54" i="5" s="1"/>
  <c r="AM48" i="5"/>
  <c r="AQ48" i="5"/>
  <c r="AN53" i="5"/>
  <c r="AR53" i="5"/>
  <c r="AP56" i="5"/>
  <c r="AL56" i="5"/>
  <c r="D88" i="9"/>
  <c r="AN62" i="5"/>
  <c r="D56" i="9" s="1"/>
  <c r="AR62" i="5"/>
  <c r="AR54" i="5"/>
  <c r="D80" i="9" s="1"/>
  <c r="AN54" i="5"/>
  <c r="AN48" i="5"/>
  <c r="D42" i="9" s="1"/>
  <c r="AR48" i="5"/>
  <c r="AM51" i="5"/>
  <c r="C45" i="9" s="1"/>
  <c r="AQ51" i="5"/>
  <c r="AN56" i="5"/>
  <c r="AR56" i="5"/>
  <c r="AL53" i="5"/>
  <c r="AP53" i="5"/>
  <c r="AM52" i="5"/>
  <c r="AQ52" i="5"/>
  <c r="AR50" i="5"/>
  <c r="D76" i="9" s="1"/>
  <c r="AN50" i="5"/>
  <c r="D44" i="9" s="1"/>
  <c r="AM57" i="5"/>
  <c r="AQ57" i="5"/>
  <c r="C83" i="9" s="1"/>
  <c r="AQ49" i="5"/>
  <c r="C75" i="9" s="1"/>
  <c r="AM49" i="5"/>
  <c r="AN52" i="5"/>
  <c r="D46" i="9" s="1"/>
  <c r="AR52" i="5"/>
  <c r="AM47" i="5"/>
  <c r="AU47" i="5" s="1"/>
  <c r="AQ47" i="5"/>
  <c r="AN51" i="5"/>
  <c r="AR51" i="5"/>
  <c r="AL51" i="5"/>
  <c r="B45" i="9" s="1"/>
  <c r="AP51" i="5"/>
  <c r="B74" i="9"/>
  <c r="AP48" i="5"/>
  <c r="AL48" i="5"/>
  <c r="AP52" i="5"/>
  <c r="B78" i="9" s="1"/>
  <c r="AL52" i="5"/>
  <c r="AM55" i="5"/>
  <c r="C49" i="9" s="1"/>
  <c r="AQ55" i="5"/>
  <c r="C283" i="9"/>
  <c r="C286" i="9"/>
  <c r="D285" i="9"/>
  <c r="B283" i="9"/>
  <c r="D281" i="9"/>
  <c r="D286" i="9"/>
  <c r="C281" i="9"/>
  <c r="B276" i="9"/>
  <c r="D270" i="9"/>
  <c r="D280" i="9"/>
  <c r="B271" i="9"/>
  <c r="D278" i="9"/>
  <c r="C273" i="9"/>
  <c r="B270" i="9"/>
  <c r="C272" i="9"/>
  <c r="B275" i="9"/>
  <c r="D218" i="9"/>
  <c r="C213" i="9"/>
  <c r="B208" i="9"/>
  <c r="D252" i="9"/>
  <c r="C247" i="9"/>
  <c r="B242" i="9"/>
  <c r="D220" i="9"/>
  <c r="D212" i="9"/>
  <c r="D219" i="9"/>
  <c r="B247" i="9"/>
  <c r="C214" i="9"/>
  <c r="C216" i="9"/>
  <c r="D245" i="9"/>
  <c r="B209" i="9"/>
  <c r="D205" i="9"/>
  <c r="C242" i="9"/>
  <c r="B253" i="9"/>
  <c r="C252" i="9"/>
  <c r="C212" i="9"/>
  <c r="D241" i="9"/>
  <c r="B205" i="9"/>
  <c r="AV112" i="5"/>
  <c r="B220" i="9"/>
  <c r="D214" i="9"/>
  <c r="C209" i="9"/>
  <c r="B254" i="9"/>
  <c r="D248" i="9"/>
  <c r="C243" i="9"/>
  <c r="B238" i="9"/>
  <c r="B218" i="9"/>
  <c r="C215" i="9"/>
  <c r="B210" i="9"/>
  <c r="C207" i="9"/>
  <c r="C254" i="9"/>
  <c r="B215" i="9"/>
  <c r="D211" i="9"/>
  <c r="B239" i="9"/>
  <c r="C206" i="9"/>
  <c r="D253" i="9"/>
  <c r="B217" i="9"/>
  <c r="D213" i="9"/>
  <c r="B251" i="9"/>
  <c r="C218" i="9"/>
  <c r="D239" i="9"/>
  <c r="D249" i="9"/>
  <c r="B213" i="9"/>
  <c r="D209" i="9"/>
  <c r="AT112" i="5"/>
  <c r="AT110" i="5"/>
  <c r="AT97" i="5"/>
  <c r="C221" i="9"/>
  <c r="B216" i="9"/>
  <c r="D210" i="9"/>
  <c r="C205" i="9"/>
  <c r="B250" i="9"/>
  <c r="D244" i="9"/>
  <c r="C239" i="9"/>
  <c r="D282" i="9"/>
  <c r="D216" i="9"/>
  <c r="C277" i="9"/>
  <c r="D208" i="9"/>
  <c r="D251" i="9"/>
  <c r="C246" i="9"/>
  <c r="D275" i="9"/>
  <c r="B207" i="9"/>
  <c r="C270" i="9"/>
  <c r="D221" i="9"/>
  <c r="B281" i="9"/>
  <c r="B241" i="9"/>
  <c r="C240" i="9"/>
  <c r="B219" i="9"/>
  <c r="C282" i="9"/>
  <c r="D215" i="9"/>
  <c r="B243" i="9"/>
  <c r="C210" i="9"/>
  <c r="B221" i="9"/>
  <c r="D217" i="9"/>
  <c r="B237" i="9"/>
  <c r="AU113" i="5"/>
  <c r="AV102" i="5"/>
  <c r="AU97" i="5"/>
  <c r="AV100" i="5"/>
  <c r="AV104" i="5"/>
  <c r="D222" i="9"/>
  <c r="C217" i="9"/>
  <c r="B212" i="9"/>
  <c r="D206" i="9"/>
  <c r="C251" i="9"/>
  <c r="B246" i="9"/>
  <c r="D240" i="9"/>
  <c r="B222" i="9"/>
  <c r="C219" i="9"/>
  <c r="B214" i="9"/>
  <c r="C211" i="9"/>
  <c r="B206" i="9"/>
  <c r="B274" i="9"/>
  <c r="C222" i="9"/>
  <c r="B279" i="9"/>
  <c r="D243" i="9"/>
  <c r="C238" i="9"/>
  <c r="B249" i="9"/>
  <c r="C248" i="9"/>
  <c r="C208" i="9"/>
  <c r="D237" i="9"/>
  <c r="C250" i="9"/>
  <c r="B211" i="9"/>
  <c r="D207" i="9"/>
  <c r="B245" i="9"/>
  <c r="C244" i="9"/>
  <c r="AT108" i="5"/>
  <c r="AU103" i="5"/>
  <c r="AT106" i="5"/>
  <c r="AU102" i="5"/>
  <c r="AU99" i="5"/>
  <c r="AT113" i="5"/>
  <c r="AV59" i="5"/>
  <c r="C54" i="9"/>
  <c r="AV58" i="5"/>
  <c r="D116" i="9" s="1"/>
  <c r="D149" i="9" s="1"/>
  <c r="D51" i="9"/>
  <c r="AR110" i="15"/>
  <c r="AN110" i="15"/>
  <c r="AV110" i="15" s="1"/>
  <c r="AQ101" i="15"/>
  <c r="AM101" i="15"/>
  <c r="AR59" i="15"/>
  <c r="AN59" i="15"/>
  <c r="AV59" i="15" s="1"/>
  <c r="AQ111" i="15"/>
  <c r="AM111" i="15"/>
  <c r="AU111" i="15"/>
  <c r="AR106" i="15"/>
  <c r="AN106" i="15"/>
  <c r="AR104" i="15"/>
  <c r="AN104" i="15"/>
  <c r="AV104" i="15" s="1"/>
  <c r="AQ99" i="15"/>
  <c r="AM99" i="15"/>
  <c r="AQ97" i="15"/>
  <c r="AM97" i="15"/>
  <c r="AU97" i="15" s="1"/>
  <c r="AR63" i="15"/>
  <c r="AP58" i="15"/>
  <c r="AL58" i="15"/>
  <c r="AT58" i="15"/>
  <c r="AM52" i="15"/>
  <c r="AP112" i="15"/>
  <c r="AL112" i="15"/>
  <c r="AT112" i="15" s="1"/>
  <c r="AQ108" i="15"/>
  <c r="AM108" i="15"/>
  <c r="AR107" i="15"/>
  <c r="AN107" i="15"/>
  <c r="AP104" i="15"/>
  <c r="AL104" i="15"/>
  <c r="AT104" i="15" s="1"/>
  <c r="AQ100" i="15"/>
  <c r="AM100" i="15"/>
  <c r="AR99" i="15"/>
  <c r="AN99" i="15"/>
  <c r="AL49" i="15"/>
  <c r="AP49" i="15"/>
  <c r="AQ113" i="15"/>
  <c r="AM113" i="15"/>
  <c r="AR108" i="15"/>
  <c r="AN108" i="15"/>
  <c r="AQ103" i="15"/>
  <c r="AM103" i="15"/>
  <c r="AU103" i="15"/>
  <c r="AQ58" i="15"/>
  <c r="AM58" i="15"/>
  <c r="AR114" i="15"/>
  <c r="AN114" i="15"/>
  <c r="AV114" i="15"/>
  <c r="AR112" i="15"/>
  <c r="AV112" i="15" s="1"/>
  <c r="AN112" i="15"/>
  <c r="AQ109" i="15"/>
  <c r="AM109" i="15"/>
  <c r="AU109" i="15" s="1"/>
  <c r="AR100" i="15"/>
  <c r="AN100" i="15"/>
  <c r="AV100" i="15" s="1"/>
  <c r="AQ60" i="15"/>
  <c r="AM60" i="15"/>
  <c r="AU60" i="15" s="1"/>
  <c r="AP57" i="15"/>
  <c r="AL57" i="15"/>
  <c r="AM51" i="15"/>
  <c r="AN52" i="15"/>
  <c r="AR52" i="15"/>
  <c r="AV52" i="15" s="1"/>
  <c r="AQ107" i="15"/>
  <c r="AM107" i="15"/>
  <c r="AM105" i="15"/>
  <c r="AQ112" i="15"/>
  <c r="AM112" i="15"/>
  <c r="AU112" i="15" s="1"/>
  <c r="AP108" i="15"/>
  <c r="AL108" i="15"/>
  <c r="AT108" i="15" s="1"/>
  <c r="AQ104" i="15"/>
  <c r="AM104" i="15"/>
  <c r="AR103" i="15"/>
  <c r="AN103" i="15"/>
  <c r="AL111" i="15"/>
  <c r="AP111" i="15"/>
  <c r="AT111" i="15" s="1"/>
  <c r="AP61" i="15"/>
  <c r="AL61" i="15"/>
  <c r="AT61" i="15" s="1"/>
  <c r="AQ53" i="15"/>
  <c r="AM53" i="15"/>
  <c r="AU53" i="15"/>
  <c r="AQ47" i="15"/>
  <c r="AU47" i="15" s="1"/>
  <c r="AM47" i="15"/>
  <c r="Y52" i="15"/>
  <c r="AI63" i="15"/>
  <c r="AI61" i="15"/>
  <c r="AI59" i="15"/>
  <c r="AI57" i="15"/>
  <c r="AI55" i="15"/>
  <c r="AJ47" i="15"/>
  <c r="Y51" i="15"/>
  <c r="Y55" i="15"/>
  <c r="AN53" i="15"/>
  <c r="AV53" i="15"/>
  <c r="AR53" i="15"/>
  <c r="AN49" i="15"/>
  <c r="AR49" i="15"/>
  <c r="AN113" i="15"/>
  <c r="AN109" i="15"/>
  <c r="AR109" i="15"/>
  <c r="Y62" i="15"/>
  <c r="Y58" i="15"/>
  <c r="AJ105" i="15"/>
  <c r="AJ101" i="15"/>
  <c r="AJ97" i="15"/>
  <c r="Z63" i="15"/>
  <c r="AH63" i="15" s="1"/>
  <c r="Z59" i="15"/>
  <c r="AH59" i="15" s="1"/>
  <c r="Y53" i="15"/>
  <c r="Z47" i="15"/>
  <c r="AH47" i="15" s="1"/>
  <c r="Z55" i="15"/>
  <c r="AH55" i="15" s="1"/>
  <c r="AL52" i="15"/>
  <c r="AT52" i="15"/>
  <c r="AP52" i="15"/>
  <c r="AP113" i="15"/>
  <c r="AL113" i="15"/>
  <c r="AT113" i="15" s="1"/>
  <c r="AP109" i="15"/>
  <c r="AT109" i="15" s="1"/>
  <c r="AL109" i="15"/>
  <c r="AP105" i="15"/>
  <c r="AL105" i="15"/>
  <c r="AT105" i="15" s="1"/>
  <c r="AP101" i="15"/>
  <c r="AL101" i="15"/>
  <c r="AP97" i="15"/>
  <c r="AL97" i="15"/>
  <c r="AT97" i="15" s="1"/>
  <c r="AR61" i="15"/>
  <c r="AN61" i="15"/>
  <c r="AV61" i="15" s="1"/>
  <c r="AR57" i="15"/>
  <c r="AN57" i="15"/>
  <c r="AP56" i="15"/>
  <c r="AL56" i="15"/>
  <c r="AT56" i="15" s="1"/>
  <c r="AQ64" i="15"/>
  <c r="AM64" i="15"/>
  <c r="AU56" i="15"/>
  <c r="AQ56" i="15"/>
  <c r="AM56" i="15"/>
  <c r="AL54" i="15"/>
  <c r="AT54" i="15"/>
  <c r="AP54" i="15"/>
  <c r="AM114" i="15"/>
  <c r="AQ114" i="15"/>
  <c r="AT114" i="15"/>
  <c r="AP114" i="15"/>
  <c r="AL114" i="15"/>
  <c r="AM110" i="15"/>
  <c r="AU110" i="15"/>
  <c r="AQ110" i="15"/>
  <c r="AP110" i="15"/>
  <c r="AL110" i="15"/>
  <c r="AT110" i="15" s="1"/>
  <c r="AM106" i="15"/>
  <c r="AU106" i="15" s="1"/>
  <c r="AQ106" i="15"/>
  <c r="AP106" i="15"/>
  <c r="AL106" i="15"/>
  <c r="AT106" i="15" s="1"/>
  <c r="AM102" i="15"/>
  <c r="AU102" i="15" s="1"/>
  <c r="AQ102" i="15"/>
  <c r="AP102" i="15"/>
  <c r="AL102" i="15"/>
  <c r="AM98" i="15"/>
  <c r="AQ98" i="15"/>
  <c r="AT98" i="15"/>
  <c r="AP98" i="15"/>
  <c r="AL98" i="15"/>
  <c r="AL51" i="15"/>
  <c r="AP51" i="15"/>
  <c r="Z60" i="15"/>
  <c r="AH60" i="15" s="1"/>
  <c r="Z50" i="15"/>
  <c r="AH50" i="15" s="1"/>
  <c r="Y61" i="15"/>
  <c r="Y57" i="15"/>
  <c r="AL107" i="15"/>
  <c r="AP107" i="15"/>
  <c r="AL103" i="15"/>
  <c r="AP103" i="15"/>
  <c r="AL99" i="15"/>
  <c r="AT99" i="15" s="1"/>
  <c r="AP99" i="15"/>
  <c r="AR55" i="15"/>
  <c r="AN55" i="15"/>
  <c r="AV55" i="15" s="1"/>
  <c r="AQ54" i="15"/>
  <c r="AM54" i="15"/>
  <c r="AQ50" i="15"/>
  <c r="AM50" i="15"/>
  <c r="AU50" i="15" s="1"/>
  <c r="AN51" i="15"/>
  <c r="AV51" i="15" s="1"/>
  <c r="AR51" i="15"/>
  <c r="AL53" i="15"/>
  <c r="AP53" i="15"/>
  <c r="AN50" i="15"/>
  <c r="AV50" i="15" s="1"/>
  <c r="AR50" i="15"/>
  <c r="AM49" i="15"/>
  <c r="AR64" i="15"/>
  <c r="AN64" i="15"/>
  <c r="AR60" i="15"/>
  <c r="AN60" i="15"/>
  <c r="AR56" i="15"/>
  <c r="AN56" i="15"/>
  <c r="AV56" i="15" s="1"/>
  <c r="AI62" i="15"/>
  <c r="Z48" i="15"/>
  <c r="AH48" i="15" s="1"/>
  <c r="AJ48" i="15"/>
  <c r="Y49" i="15"/>
  <c r="AU62" i="5"/>
  <c r="C120" i="9" s="1"/>
  <c r="C153" i="9" s="1"/>
  <c r="E90" i="14"/>
  <c r="F90" i="14" s="1"/>
  <c r="C51" i="9"/>
  <c r="E86" i="14"/>
  <c r="F86" i="14" s="1"/>
  <c r="B56" i="9"/>
  <c r="B46" i="9"/>
  <c r="F59" i="14"/>
  <c r="E54" i="14"/>
  <c r="F54" i="14" s="1"/>
  <c r="AT57" i="5"/>
  <c r="B115" i="9" s="1"/>
  <c r="B148" i="9" s="1"/>
  <c r="AT61" i="5"/>
  <c r="B119" i="9" s="1"/>
  <c r="E50" i="14"/>
  <c r="F50" i="14" s="1"/>
  <c r="AU56" i="5"/>
  <c r="C114" i="9" s="1"/>
  <c r="E58" i="14"/>
  <c r="F58" i="14" s="1"/>
  <c r="P52" i="14"/>
  <c r="AU58" i="5"/>
  <c r="C116" i="9" s="1"/>
  <c r="C149" i="9" s="1"/>
  <c r="AV63" i="5"/>
  <c r="D121" i="9" s="1"/>
  <c r="D154" i="9" s="1"/>
  <c r="B55" i="9"/>
  <c r="AV60" i="5"/>
  <c r="C57" i="9"/>
  <c r="E87" i="14"/>
  <c r="F87" i="14" s="1"/>
  <c r="B120" i="9"/>
  <c r="D119" i="9"/>
  <c r="D152" i="9" s="1"/>
  <c r="E88" i="14"/>
  <c r="F88" i="14" s="1"/>
  <c r="E84" i="14"/>
  <c r="F84" i="14" s="1"/>
  <c r="E89" i="14"/>
  <c r="F89" i="14" s="1"/>
  <c r="D117" i="9"/>
  <c r="D150" i="9" s="1"/>
  <c r="C118" i="9"/>
  <c r="E85" i="14"/>
  <c r="F85" i="14" s="1"/>
  <c r="C117" i="9"/>
  <c r="C150" i="9" s="1"/>
  <c r="D122" i="9"/>
  <c r="D155" i="9" s="1"/>
  <c r="C122" i="9"/>
  <c r="C155" i="9" s="1"/>
  <c r="B122" i="9"/>
  <c r="B155" i="9" s="1"/>
  <c r="E83" i="14"/>
  <c r="F83" i="14" s="1"/>
  <c r="AT59" i="5"/>
  <c r="C121" i="9"/>
  <c r="D115" i="9"/>
  <c r="B121" i="9"/>
  <c r="B154" i="9" s="1"/>
  <c r="AT58" i="5"/>
  <c r="D50" i="9"/>
  <c r="C81" i="9"/>
  <c r="D74" i="9"/>
  <c r="B80" i="9"/>
  <c r="C111" i="9"/>
  <c r="C144" i="9" s="1"/>
  <c r="AT50" i="5"/>
  <c r="D78" i="9"/>
  <c r="C77" i="9"/>
  <c r="P16" i="14"/>
  <c r="P21" i="14"/>
  <c r="P20" i="14"/>
  <c r="P47" i="14"/>
  <c r="P15" i="14"/>
  <c r="P19" i="14"/>
  <c r="P18" i="14"/>
  <c r="H113" i="14"/>
  <c r="P48" i="14"/>
  <c r="P50" i="14"/>
  <c r="B60" i="14"/>
  <c r="P10" i="14"/>
  <c r="H49" i="14"/>
  <c r="P46" i="14"/>
  <c r="P51" i="14"/>
  <c r="F41" i="14"/>
  <c r="P17" i="14"/>
  <c r="F9" i="14"/>
  <c r="E27" i="14"/>
  <c r="B29" i="14" s="1"/>
  <c r="I14" i="14" s="1"/>
  <c r="J14" i="14" s="1"/>
  <c r="D45" i="9"/>
  <c r="D43" i="9"/>
  <c r="B49" i="9"/>
  <c r="AU55" i="5"/>
  <c r="AU51" i="5"/>
  <c r="C44" i="9"/>
  <c r="D49" i="9"/>
  <c r="C42" i="9"/>
  <c r="AU48" i="5"/>
  <c r="D47" i="9"/>
  <c r="AV52" i="5"/>
  <c r="B43" i="9"/>
  <c r="C48" i="9"/>
  <c r="C46" i="9"/>
  <c r="AT54" i="5"/>
  <c r="B47" i="9"/>
  <c r="AV48" i="5"/>
  <c r="C41" i="9"/>
  <c r="AV47" i="5"/>
  <c r="D41" i="9"/>
  <c r="B41" i="9"/>
  <c r="H83" i="13"/>
  <c r="H115" i="13"/>
  <c r="L79" i="13"/>
  <c r="L110" i="13"/>
  <c r="L12" i="13"/>
  <c r="H49" i="13"/>
  <c r="L78" i="13"/>
  <c r="L45" i="13"/>
  <c r="L111" i="13"/>
  <c r="L310" i="9"/>
  <c r="H309" i="9"/>
  <c r="H307" i="9"/>
  <c r="H306" i="9"/>
  <c r="H305" i="9"/>
  <c r="L305" i="9" s="1"/>
  <c r="H304" i="9"/>
  <c r="L277" i="9"/>
  <c r="H276" i="9"/>
  <c r="H274" i="9"/>
  <c r="L274" i="9" s="1"/>
  <c r="H273" i="9"/>
  <c r="H272" i="9"/>
  <c r="H271" i="9"/>
  <c r="L245" i="9"/>
  <c r="H244" i="9"/>
  <c r="H242" i="9"/>
  <c r="H241" i="9"/>
  <c r="H240" i="9"/>
  <c r="L240" i="9" s="1"/>
  <c r="H239" i="9"/>
  <c r="L213" i="9"/>
  <c r="H212" i="9"/>
  <c r="H211" i="9"/>
  <c r="L211" i="9" s="1"/>
  <c r="H210" i="9"/>
  <c r="L210" i="9" s="1"/>
  <c r="H209" i="9"/>
  <c r="H208" i="9"/>
  <c r="H207" i="9"/>
  <c r="L207" i="9" s="1"/>
  <c r="Y183" i="9"/>
  <c r="Y182" i="9"/>
  <c r="Y181" i="9"/>
  <c r="L181" i="9"/>
  <c r="Y180" i="9"/>
  <c r="H180" i="9"/>
  <c r="Y179" i="9"/>
  <c r="H178" i="9"/>
  <c r="L178" i="9" s="1"/>
  <c r="H177" i="9"/>
  <c r="H176" i="9"/>
  <c r="H175" i="9"/>
  <c r="N94" i="5"/>
  <c r="M94" i="5"/>
  <c r="L94" i="5"/>
  <c r="F94" i="5"/>
  <c r="E94" i="5"/>
  <c r="D94" i="5"/>
  <c r="N93" i="5"/>
  <c r="W93" i="5" s="1"/>
  <c r="M93" i="5"/>
  <c r="L93" i="5"/>
  <c r="F93" i="5"/>
  <c r="E93" i="5"/>
  <c r="D93" i="5"/>
  <c r="N92" i="5"/>
  <c r="M92" i="5"/>
  <c r="L92" i="5"/>
  <c r="U92" i="5" s="1"/>
  <c r="F92" i="5"/>
  <c r="E92" i="5"/>
  <c r="D92" i="5"/>
  <c r="N91" i="5"/>
  <c r="M91" i="5"/>
  <c r="L91" i="5"/>
  <c r="F91" i="5"/>
  <c r="E91" i="5"/>
  <c r="D91" i="5"/>
  <c r="N90" i="5"/>
  <c r="M90" i="5"/>
  <c r="L90" i="5"/>
  <c r="F90" i="5"/>
  <c r="E90" i="5"/>
  <c r="D90" i="5"/>
  <c r="N89" i="5"/>
  <c r="W89" i="5" s="1"/>
  <c r="M89" i="5"/>
  <c r="L89" i="5"/>
  <c r="F89" i="5"/>
  <c r="E89" i="5"/>
  <c r="D89" i="5"/>
  <c r="N88" i="5"/>
  <c r="M88" i="5"/>
  <c r="L88" i="5"/>
  <c r="F88" i="5"/>
  <c r="E88" i="5"/>
  <c r="D88" i="5"/>
  <c r="N87" i="5"/>
  <c r="M87" i="5"/>
  <c r="L87" i="5"/>
  <c r="F87" i="5"/>
  <c r="E87" i="5"/>
  <c r="D87" i="5"/>
  <c r="N86" i="5"/>
  <c r="M86" i="5"/>
  <c r="L86" i="5"/>
  <c r="F86" i="5"/>
  <c r="E86" i="5"/>
  <c r="D86" i="5"/>
  <c r="N85" i="5"/>
  <c r="W85" i="5" s="1"/>
  <c r="M85" i="5"/>
  <c r="L85" i="5"/>
  <c r="F85" i="5"/>
  <c r="E85" i="5"/>
  <c r="D85" i="5"/>
  <c r="N84" i="5"/>
  <c r="M84" i="5"/>
  <c r="L84" i="5"/>
  <c r="F84" i="5"/>
  <c r="E84" i="5"/>
  <c r="D84" i="5"/>
  <c r="N83" i="5"/>
  <c r="M83" i="5"/>
  <c r="L83" i="5"/>
  <c r="F83" i="5"/>
  <c r="E83" i="5"/>
  <c r="D83" i="5"/>
  <c r="N82" i="5"/>
  <c r="M82" i="5"/>
  <c r="L82" i="5"/>
  <c r="U82" i="5" s="1"/>
  <c r="F82" i="5"/>
  <c r="E82" i="5"/>
  <c r="D82" i="5"/>
  <c r="W81" i="5"/>
  <c r="N81" i="5"/>
  <c r="M81" i="5"/>
  <c r="L81" i="5"/>
  <c r="F81" i="5"/>
  <c r="E81" i="5"/>
  <c r="D81" i="5"/>
  <c r="N80" i="5"/>
  <c r="M80" i="5"/>
  <c r="L80" i="5"/>
  <c r="F80" i="5"/>
  <c r="E80" i="5"/>
  <c r="D80" i="5"/>
  <c r="U80" i="5" s="1"/>
  <c r="N79" i="5"/>
  <c r="M79" i="5"/>
  <c r="L79" i="5"/>
  <c r="F79" i="5"/>
  <c r="E79" i="5"/>
  <c r="D79" i="5"/>
  <c r="N78" i="5"/>
  <c r="M78" i="5"/>
  <c r="L78" i="5"/>
  <c r="F78" i="5"/>
  <c r="E78" i="5"/>
  <c r="D78" i="5"/>
  <c r="N77" i="5"/>
  <c r="M77" i="5"/>
  <c r="L77" i="5"/>
  <c r="F77" i="5"/>
  <c r="E77" i="5"/>
  <c r="D77" i="5"/>
  <c r="J74" i="5"/>
  <c r="I74" i="5"/>
  <c r="H74" i="5"/>
  <c r="Q73" i="5"/>
  <c r="J73" i="5"/>
  <c r="I73" i="5"/>
  <c r="H73" i="5"/>
  <c r="H136" i="5" s="1"/>
  <c r="J72" i="5"/>
  <c r="I72" i="5"/>
  <c r="H72" i="5"/>
  <c r="J71" i="5"/>
  <c r="I71" i="5"/>
  <c r="H71" i="5"/>
  <c r="H134" i="5" s="1"/>
  <c r="J70" i="5"/>
  <c r="I70" i="5"/>
  <c r="H70" i="5"/>
  <c r="J69" i="5"/>
  <c r="I69" i="5"/>
  <c r="H69" i="5"/>
  <c r="H132" i="5" s="1"/>
  <c r="J68" i="5"/>
  <c r="I68" i="5"/>
  <c r="H68" i="5"/>
  <c r="J67" i="5"/>
  <c r="I67" i="5"/>
  <c r="H67" i="5"/>
  <c r="H130" i="5" s="1"/>
  <c r="J66" i="5"/>
  <c r="I66" i="5"/>
  <c r="H66" i="5"/>
  <c r="Q65" i="5"/>
  <c r="J65" i="5"/>
  <c r="I65" i="5"/>
  <c r="H65" i="5"/>
  <c r="H128" i="5" s="1"/>
  <c r="J64" i="5"/>
  <c r="I64" i="5"/>
  <c r="H64" i="5"/>
  <c r="J63" i="5"/>
  <c r="I63" i="5"/>
  <c r="H63" i="5"/>
  <c r="H126" i="5" s="1"/>
  <c r="J62" i="5"/>
  <c r="I62" i="5"/>
  <c r="H62" i="5"/>
  <c r="J61" i="5"/>
  <c r="I61" i="5"/>
  <c r="H61" i="5"/>
  <c r="H124" i="5" s="1"/>
  <c r="J60" i="5"/>
  <c r="I60" i="5"/>
  <c r="H60" i="5"/>
  <c r="R59" i="5"/>
  <c r="J59" i="5"/>
  <c r="I59" i="5"/>
  <c r="I122" i="5" s="1"/>
  <c r="H59" i="5"/>
  <c r="J58" i="5"/>
  <c r="I58" i="5"/>
  <c r="H58" i="5"/>
  <c r="H121" i="5" s="1"/>
  <c r="S57" i="5"/>
  <c r="J57" i="5"/>
  <c r="J120" i="5" s="1"/>
  <c r="I57" i="5"/>
  <c r="H57" i="5"/>
  <c r="H120" i="5" s="1"/>
  <c r="L146" i="9"/>
  <c r="H145" i="9"/>
  <c r="H143" i="9"/>
  <c r="H142" i="9"/>
  <c r="H141" i="9"/>
  <c r="H140" i="9"/>
  <c r="L113" i="9"/>
  <c r="H112" i="9"/>
  <c r="H110" i="9"/>
  <c r="H109" i="9"/>
  <c r="H108" i="9"/>
  <c r="H107" i="9"/>
  <c r="L81" i="9"/>
  <c r="H80" i="9"/>
  <c r="H78" i="9"/>
  <c r="H77" i="9"/>
  <c r="H76" i="9"/>
  <c r="L76" i="9" s="1"/>
  <c r="H75" i="9"/>
  <c r="L49" i="9"/>
  <c r="H48" i="9"/>
  <c r="H46" i="9"/>
  <c r="H45" i="9"/>
  <c r="H44" i="9"/>
  <c r="H43" i="9"/>
  <c r="Q19" i="9" l="1"/>
  <c r="I17" i="9"/>
  <c r="D31" i="9"/>
  <c r="I16" i="9" s="1"/>
  <c r="J16" i="9" s="1"/>
  <c r="I13" i="9"/>
  <c r="J13" i="9" s="1"/>
  <c r="K13" i="9" s="1"/>
  <c r="M13" i="9" s="1"/>
  <c r="Q9" i="9"/>
  <c r="L19" i="9"/>
  <c r="Q18" i="9"/>
  <c r="Q14" i="9"/>
  <c r="J12" i="9"/>
  <c r="K12" i="9" s="1"/>
  <c r="M12" i="9" s="1"/>
  <c r="I15" i="9"/>
  <c r="J15" i="9" s="1"/>
  <c r="K15" i="9" s="1"/>
  <c r="M15" i="9" s="1"/>
  <c r="Q15" i="9"/>
  <c r="Q20" i="9"/>
  <c r="Q13" i="9"/>
  <c r="Q16" i="9"/>
  <c r="D148" i="9"/>
  <c r="H243" i="9"/>
  <c r="L243" i="9" s="1"/>
  <c r="H308" i="9"/>
  <c r="D283" i="9"/>
  <c r="AN58" i="15"/>
  <c r="AR58" i="15"/>
  <c r="C276" i="9"/>
  <c r="AM48" i="15"/>
  <c r="AQ48" i="15"/>
  <c r="AU105" i="15"/>
  <c r="B240" i="9"/>
  <c r="R57" i="5"/>
  <c r="I120" i="5"/>
  <c r="Q59" i="5"/>
  <c r="H122" i="5"/>
  <c r="Q60" i="5"/>
  <c r="H123" i="5"/>
  <c r="R62" i="5"/>
  <c r="I125" i="5"/>
  <c r="S63" i="5"/>
  <c r="J126" i="5"/>
  <c r="S64" i="5"/>
  <c r="J127" i="5"/>
  <c r="AB130" i="5"/>
  <c r="B147" i="13" s="1"/>
  <c r="AO130" i="5"/>
  <c r="B177" i="13" s="1"/>
  <c r="Q68" i="5"/>
  <c r="H131" i="5"/>
  <c r="R69" i="5"/>
  <c r="I132" i="5"/>
  <c r="R70" i="5"/>
  <c r="I133" i="5"/>
  <c r="S71" i="5"/>
  <c r="J134" i="5"/>
  <c r="S72" i="5"/>
  <c r="J135" i="5"/>
  <c r="AU51" i="15"/>
  <c r="AV63" i="15"/>
  <c r="H47" i="9"/>
  <c r="AQ120" i="5"/>
  <c r="D167" i="13" s="1"/>
  <c r="AD120" i="5"/>
  <c r="D137" i="13" s="1"/>
  <c r="R58" i="5"/>
  <c r="I121" i="5"/>
  <c r="AP122" i="5"/>
  <c r="C169" i="13" s="1"/>
  <c r="AC122" i="5"/>
  <c r="C139" i="13" s="1"/>
  <c r="R60" i="5"/>
  <c r="I123" i="5"/>
  <c r="S61" i="5"/>
  <c r="J124" i="5"/>
  <c r="S62" i="5"/>
  <c r="J125" i="5"/>
  <c r="Q63" i="5"/>
  <c r="AB128" i="5"/>
  <c r="B145" i="13" s="1"/>
  <c r="AO128" i="5"/>
  <c r="B175" i="13" s="1"/>
  <c r="Q66" i="5"/>
  <c r="H129" i="5"/>
  <c r="R67" i="5"/>
  <c r="I130" i="5"/>
  <c r="R68" i="5"/>
  <c r="I131" i="5"/>
  <c r="S69" i="5"/>
  <c r="J132" i="5"/>
  <c r="S70" i="5"/>
  <c r="J133" i="5"/>
  <c r="Q71" i="5"/>
  <c r="AB136" i="5"/>
  <c r="B153" i="13" s="1"/>
  <c r="AO136" i="5"/>
  <c r="B183" i="13" s="1"/>
  <c r="Q74" i="5"/>
  <c r="H137" i="5"/>
  <c r="L175" i="9"/>
  <c r="L208" i="9"/>
  <c r="L308" i="9"/>
  <c r="AV50" i="5"/>
  <c r="AT52" i="5"/>
  <c r="AQ49" i="15"/>
  <c r="AU49" i="15" s="1"/>
  <c r="AT53" i="15"/>
  <c r="AT103" i="15"/>
  <c r="AT51" i="15"/>
  <c r="AV109" i="15"/>
  <c r="AL100" i="15"/>
  <c r="AT100" i="15" s="1"/>
  <c r="AV108" i="15"/>
  <c r="AT49" i="15"/>
  <c r="AV99" i="15"/>
  <c r="AU108" i="15"/>
  <c r="B277" i="9"/>
  <c r="AB121" i="5"/>
  <c r="B138" i="13" s="1"/>
  <c r="AO121" i="5"/>
  <c r="B168" i="13" s="1"/>
  <c r="R61" i="5"/>
  <c r="I124" i="5"/>
  <c r="Q57" i="5"/>
  <c r="S58" i="5"/>
  <c r="J121" i="5"/>
  <c r="S59" i="5"/>
  <c r="J122" i="5"/>
  <c r="S60" i="5"/>
  <c r="J123" i="5"/>
  <c r="Q61" i="5"/>
  <c r="AB126" i="5"/>
  <c r="B143" i="13" s="1"/>
  <c r="AO126" i="5"/>
  <c r="B173" i="13" s="1"/>
  <c r="Q64" i="5"/>
  <c r="H127" i="5"/>
  <c r="R65" i="5"/>
  <c r="I128" i="5"/>
  <c r="R66" i="5"/>
  <c r="I129" i="5"/>
  <c r="S67" i="5"/>
  <c r="J130" i="5"/>
  <c r="S68" i="5"/>
  <c r="J131" i="5"/>
  <c r="Q69" i="5"/>
  <c r="AB134" i="5"/>
  <c r="B151" i="13" s="1"/>
  <c r="AO134" i="5"/>
  <c r="B181" i="13" s="1"/>
  <c r="Q72" i="5"/>
  <c r="H135" i="5"/>
  <c r="R73" i="5"/>
  <c r="I136" i="5"/>
  <c r="R74" i="5"/>
  <c r="I137" i="5"/>
  <c r="L176" i="9"/>
  <c r="L209" i="9"/>
  <c r="L242" i="9"/>
  <c r="L272" i="9"/>
  <c r="L307" i="9"/>
  <c r="AV60" i="15"/>
  <c r="AU54" i="15"/>
  <c r="AT107" i="15"/>
  <c r="AU98" i="15"/>
  <c r="AU114" i="15"/>
  <c r="AU64" i="15"/>
  <c r="AV57" i="15"/>
  <c r="AL64" i="15"/>
  <c r="AT64" i="15" s="1"/>
  <c r="AT101" i="15"/>
  <c r="AR113" i="15"/>
  <c r="AV113" i="15" s="1"/>
  <c r="AV49" i="15"/>
  <c r="AU104" i="15"/>
  <c r="AN111" i="15"/>
  <c r="AV111" i="15" s="1"/>
  <c r="AN98" i="15"/>
  <c r="AV98" i="15" s="1"/>
  <c r="AU107" i="15"/>
  <c r="AR54" i="15"/>
  <c r="AV54" i="15" s="1"/>
  <c r="AT57" i="15"/>
  <c r="AL62" i="15"/>
  <c r="AT62" i="15" s="1"/>
  <c r="AN102" i="15"/>
  <c r="AV102" i="15" s="1"/>
  <c r="AU113" i="15"/>
  <c r="AN62" i="15"/>
  <c r="AV62" i="15" s="1"/>
  <c r="AU100" i="15"/>
  <c r="AV107" i="15"/>
  <c r="AU52" i="15"/>
  <c r="AU101" i="15"/>
  <c r="AV62" i="5"/>
  <c r="D120" i="9" s="1"/>
  <c r="D153" i="9" s="1"/>
  <c r="AV107" i="5"/>
  <c r="D273" i="9"/>
  <c r="C278" i="9"/>
  <c r="C279" i="9"/>
  <c r="AT56" i="5"/>
  <c r="B114" i="9" s="1"/>
  <c r="C249" i="9"/>
  <c r="AD27" i="15"/>
  <c r="AO120" i="5"/>
  <c r="B167" i="13" s="1"/>
  <c r="AB120" i="5"/>
  <c r="B137" i="13" s="1"/>
  <c r="Q58" i="5"/>
  <c r="AB124" i="5"/>
  <c r="B141" i="13" s="1"/>
  <c r="AO124" i="5"/>
  <c r="B171" i="13" s="1"/>
  <c r="Q62" i="5"/>
  <c r="H125" i="5"/>
  <c r="R63" i="5"/>
  <c r="I126" i="5"/>
  <c r="R64" i="5"/>
  <c r="I127" i="5"/>
  <c r="S65" i="5"/>
  <c r="J128" i="5"/>
  <c r="S66" i="5"/>
  <c r="D182" i="9" s="1"/>
  <c r="J129" i="5"/>
  <c r="Q67" i="5"/>
  <c r="AO132" i="5"/>
  <c r="B179" i="13" s="1"/>
  <c r="AB132" i="5"/>
  <c r="B149" i="13" s="1"/>
  <c r="Q70" i="5"/>
  <c r="H133" i="5"/>
  <c r="R71" i="5"/>
  <c r="C187" i="9" s="1"/>
  <c r="I134" i="5"/>
  <c r="R72" i="5"/>
  <c r="I135" i="5"/>
  <c r="S73" i="5"/>
  <c r="J136" i="5"/>
  <c r="S74" i="5"/>
  <c r="J137" i="5"/>
  <c r="H179" i="9"/>
  <c r="L179" i="9" s="1"/>
  <c r="H245" i="9"/>
  <c r="H275" i="9"/>
  <c r="L275" i="9" s="1"/>
  <c r="H310" i="9"/>
  <c r="AT102" i="15"/>
  <c r="AV103" i="15"/>
  <c r="AU58" i="15"/>
  <c r="AU99" i="15"/>
  <c r="AV106" i="15"/>
  <c r="C220" i="9"/>
  <c r="AT100" i="5"/>
  <c r="B173" i="9"/>
  <c r="B107" i="13"/>
  <c r="C174" i="9"/>
  <c r="U175" i="9" s="1"/>
  <c r="C108" i="13"/>
  <c r="C110" i="13"/>
  <c r="D111" i="13"/>
  <c r="D178" i="9"/>
  <c r="V179" i="9" s="1"/>
  <c r="D112" i="13"/>
  <c r="B113" i="13"/>
  <c r="B182" i="9"/>
  <c r="T183" i="9" s="1"/>
  <c r="B116" i="13"/>
  <c r="C183" i="9"/>
  <c r="U184" i="9" s="1"/>
  <c r="C117" i="13"/>
  <c r="C184" i="9"/>
  <c r="U185" i="9" s="1"/>
  <c r="C118" i="13"/>
  <c r="D185" i="9"/>
  <c r="V186" i="9" s="1"/>
  <c r="D119" i="13"/>
  <c r="D186" i="9"/>
  <c r="V187" i="9" s="1"/>
  <c r="D120" i="13"/>
  <c r="B187" i="9"/>
  <c r="B121" i="13"/>
  <c r="E121" i="13" s="1"/>
  <c r="F121" i="13" s="1"/>
  <c r="B190" i="9"/>
  <c r="T191" i="9" s="1"/>
  <c r="B124" i="13"/>
  <c r="B109" i="13"/>
  <c r="B110" i="13"/>
  <c r="C111" i="13"/>
  <c r="C112" i="13"/>
  <c r="D179" i="9"/>
  <c r="V180" i="9" s="1"/>
  <c r="D113" i="13"/>
  <c r="D180" i="9"/>
  <c r="V181" i="9" s="1"/>
  <c r="D114" i="13"/>
  <c r="B115" i="13"/>
  <c r="B184" i="9"/>
  <c r="B118" i="13"/>
  <c r="C185" i="9"/>
  <c r="U186" i="9" s="1"/>
  <c r="C119" i="13"/>
  <c r="C186" i="9"/>
  <c r="U187" i="9" s="1"/>
  <c r="C120" i="13"/>
  <c r="D187" i="9"/>
  <c r="V188" i="9" s="1"/>
  <c r="D121" i="13"/>
  <c r="D188" i="9"/>
  <c r="V189" i="9" s="1"/>
  <c r="D122" i="13"/>
  <c r="B189" i="9"/>
  <c r="T190" i="9" s="1"/>
  <c r="B123" i="13"/>
  <c r="C107" i="13"/>
  <c r="D107" i="13"/>
  <c r="B108" i="13"/>
  <c r="C175" i="9"/>
  <c r="U176" i="9" s="1"/>
  <c r="C109" i="13"/>
  <c r="B178" i="9"/>
  <c r="B112" i="13"/>
  <c r="C113" i="13"/>
  <c r="C114" i="13"/>
  <c r="D115" i="13"/>
  <c r="D116" i="13"/>
  <c r="B183" i="9"/>
  <c r="T184" i="9" s="1"/>
  <c r="B117" i="13"/>
  <c r="B186" i="9"/>
  <c r="E186" i="9" s="1"/>
  <c r="F186" i="9" s="1"/>
  <c r="B120" i="13"/>
  <c r="C121" i="13"/>
  <c r="C188" i="9"/>
  <c r="U189" i="9" s="1"/>
  <c r="C122" i="13"/>
  <c r="D189" i="9"/>
  <c r="V190" i="9" s="1"/>
  <c r="D190" i="9"/>
  <c r="V191" i="9" s="1"/>
  <c r="D124" i="13"/>
  <c r="D108" i="13"/>
  <c r="D109" i="13"/>
  <c r="D110" i="13"/>
  <c r="B177" i="9"/>
  <c r="T178" i="9" s="1"/>
  <c r="B111" i="13"/>
  <c r="B180" i="9"/>
  <c r="T181" i="9" s="1"/>
  <c r="B114" i="13"/>
  <c r="C181" i="9"/>
  <c r="U182" i="9" s="1"/>
  <c r="C115" i="13"/>
  <c r="C182" i="9"/>
  <c r="C116" i="13"/>
  <c r="D183" i="9"/>
  <c r="V184" i="9" s="1"/>
  <c r="D117" i="13"/>
  <c r="D184" i="9"/>
  <c r="V185" i="9" s="1"/>
  <c r="D118" i="13"/>
  <c r="B185" i="9"/>
  <c r="T186" i="9" s="1"/>
  <c r="B119" i="13"/>
  <c r="B188" i="9"/>
  <c r="T189" i="9" s="1"/>
  <c r="B122" i="13"/>
  <c r="C189" i="9"/>
  <c r="U190" i="9" s="1"/>
  <c r="C123" i="13"/>
  <c r="C190" i="9"/>
  <c r="U191" i="9" s="1"/>
  <c r="C124" i="13"/>
  <c r="C284" i="9"/>
  <c r="AU49" i="5"/>
  <c r="C107" i="9" s="1"/>
  <c r="C43" i="9"/>
  <c r="D48" i="9"/>
  <c r="AV54" i="5"/>
  <c r="D112" i="9" s="1"/>
  <c r="B50" i="9"/>
  <c r="D279" i="9"/>
  <c r="C269" i="9"/>
  <c r="D284" i="9"/>
  <c r="C274" i="9"/>
  <c r="B280" i="9"/>
  <c r="D272" i="9"/>
  <c r="B269" i="9"/>
  <c r="C271" i="9"/>
  <c r="C275" i="9"/>
  <c r="C285" i="9"/>
  <c r="B284" i="9"/>
  <c r="B285" i="9"/>
  <c r="B278" i="9"/>
  <c r="D276" i="9"/>
  <c r="D274" i="9"/>
  <c r="B282" i="9"/>
  <c r="C151" i="9"/>
  <c r="P53" i="14"/>
  <c r="B153" i="9"/>
  <c r="C55" i="9"/>
  <c r="AU61" i="5"/>
  <c r="C119" i="9" s="1"/>
  <c r="B152" i="9"/>
  <c r="B42" i="9"/>
  <c r="AT48" i="5"/>
  <c r="B106" i="9" s="1"/>
  <c r="AU57" i="5"/>
  <c r="C115" i="9" s="1"/>
  <c r="C148" i="9" s="1"/>
  <c r="AP47" i="15"/>
  <c r="AL47" i="15"/>
  <c r="AT47" i="15" s="1"/>
  <c r="AN97" i="15"/>
  <c r="AR97" i="15"/>
  <c r="AV97" i="15" s="1"/>
  <c r="AM55" i="15"/>
  <c r="AQ55" i="15"/>
  <c r="AQ63" i="15"/>
  <c r="AU63" i="15" s="1"/>
  <c r="AM63" i="15"/>
  <c r="AQ62" i="15"/>
  <c r="AM62" i="15"/>
  <c r="AU62" i="15" s="1"/>
  <c r="AP55" i="15"/>
  <c r="AL55" i="15"/>
  <c r="AT55" i="15" s="1"/>
  <c r="AP63" i="15"/>
  <c r="AL63" i="15"/>
  <c r="AT63" i="15" s="1"/>
  <c r="AR47" i="15"/>
  <c r="AN47" i="15"/>
  <c r="AV47" i="15" s="1"/>
  <c r="AQ61" i="15"/>
  <c r="AM61" i="15"/>
  <c r="AU61" i="15" s="1"/>
  <c r="AP48" i="15"/>
  <c r="AL48" i="15"/>
  <c r="AP60" i="15"/>
  <c r="AL60" i="15"/>
  <c r="AT60" i="15"/>
  <c r="AP59" i="15"/>
  <c r="AL59" i="15"/>
  <c r="AT59" i="15" s="1"/>
  <c r="AN105" i="15"/>
  <c r="AR105" i="15"/>
  <c r="AQ59" i="15"/>
  <c r="AM59" i="15"/>
  <c r="AU59" i="15" s="1"/>
  <c r="AR48" i="15"/>
  <c r="AN48" i="15"/>
  <c r="AV48" i="15" s="1"/>
  <c r="AL50" i="15"/>
  <c r="AP50" i="15"/>
  <c r="AN101" i="15"/>
  <c r="AV101" i="15" s="1"/>
  <c r="AR101" i="15"/>
  <c r="AQ57" i="15"/>
  <c r="AM57" i="15"/>
  <c r="AU57" i="15" s="1"/>
  <c r="P42" i="14"/>
  <c r="E59" i="14"/>
  <c r="B61" i="14" s="1"/>
  <c r="B62" i="14" s="1"/>
  <c r="I49" i="14" s="1"/>
  <c r="AT60" i="5"/>
  <c r="P49" i="14"/>
  <c r="D118" i="9"/>
  <c r="D151" i="9" s="1"/>
  <c r="C154" i="9"/>
  <c r="B117" i="9"/>
  <c r="B150" i="9" s="1"/>
  <c r="E121" i="14"/>
  <c r="F121" i="14" s="1"/>
  <c r="E122" i="14"/>
  <c r="F122" i="14" s="1"/>
  <c r="E117" i="14"/>
  <c r="F117" i="14" s="1"/>
  <c r="B116" i="9"/>
  <c r="B149" i="9" s="1"/>
  <c r="E119" i="14"/>
  <c r="F119" i="14" s="1"/>
  <c r="E116" i="14"/>
  <c r="F116" i="14" s="1"/>
  <c r="E115" i="14"/>
  <c r="F115" i="14" s="1"/>
  <c r="E120" i="14"/>
  <c r="F120" i="14" s="1"/>
  <c r="C147" i="9"/>
  <c r="D82" i="9"/>
  <c r="AV56" i="5"/>
  <c r="E82" i="14"/>
  <c r="F82" i="14" s="1"/>
  <c r="P74" i="14" s="1"/>
  <c r="C106" i="9"/>
  <c r="B77" i="9"/>
  <c r="B75" i="9"/>
  <c r="D81" i="9"/>
  <c r="D108" i="9"/>
  <c r="D141" i="9" s="1"/>
  <c r="B79" i="9"/>
  <c r="C78" i="9"/>
  <c r="D79" i="9"/>
  <c r="C76" i="9"/>
  <c r="E76" i="14"/>
  <c r="F76" i="14" s="1"/>
  <c r="B81" i="9"/>
  <c r="D77" i="9"/>
  <c r="D106" i="9"/>
  <c r="D139" i="9" s="1"/>
  <c r="B110" i="9"/>
  <c r="B143" i="9" s="1"/>
  <c r="C80" i="9"/>
  <c r="D110" i="9"/>
  <c r="D143" i="9" s="1"/>
  <c r="C113" i="9"/>
  <c r="C146" i="9" s="1"/>
  <c r="AT53" i="5"/>
  <c r="AU50" i="5"/>
  <c r="B112" i="9"/>
  <c r="B145" i="9" s="1"/>
  <c r="C112" i="9"/>
  <c r="C74" i="9"/>
  <c r="C109" i="9"/>
  <c r="C142" i="9" s="1"/>
  <c r="D75" i="9"/>
  <c r="B108" i="9"/>
  <c r="B141" i="9" s="1"/>
  <c r="I45" i="14"/>
  <c r="J45" i="14" s="1"/>
  <c r="D105" i="9"/>
  <c r="C73" i="9"/>
  <c r="D30" i="14"/>
  <c r="I11" i="14" s="1"/>
  <c r="J11" i="14" s="1"/>
  <c r="B31" i="14"/>
  <c r="I12" i="14" s="1"/>
  <c r="B30" i="14"/>
  <c r="I13" i="14"/>
  <c r="J13" i="14" s="1"/>
  <c r="P45" i="14"/>
  <c r="P41" i="14"/>
  <c r="P9" i="14"/>
  <c r="Q10" i="14" s="1"/>
  <c r="P13" i="14"/>
  <c r="Q18" i="14" s="1"/>
  <c r="AV53" i="5"/>
  <c r="AV55" i="5"/>
  <c r="AT51" i="5"/>
  <c r="AU52" i="5"/>
  <c r="AT49" i="5"/>
  <c r="AT55" i="5"/>
  <c r="AV51" i="5"/>
  <c r="AV49" i="5"/>
  <c r="AT47" i="5"/>
  <c r="U94" i="5"/>
  <c r="T179" i="9"/>
  <c r="D181" i="9"/>
  <c r="V182" i="9" s="1"/>
  <c r="C180" i="9"/>
  <c r="U181" i="9" s="1"/>
  <c r="B179" i="9"/>
  <c r="D177" i="9"/>
  <c r="V178" i="9" s="1"/>
  <c r="C176" i="9"/>
  <c r="U177" i="9" s="1"/>
  <c r="B175" i="9"/>
  <c r="T176" i="9" s="1"/>
  <c r="C173" i="9"/>
  <c r="U174" i="9" s="1"/>
  <c r="C179" i="9"/>
  <c r="U180" i="9" s="1"/>
  <c r="D176" i="9"/>
  <c r="V177" i="9" s="1"/>
  <c r="B174" i="9"/>
  <c r="T175" i="9" s="1"/>
  <c r="D173" i="9"/>
  <c r="V174" i="9" s="1"/>
  <c r="B181" i="9"/>
  <c r="T182" i="9" s="1"/>
  <c r="C178" i="9"/>
  <c r="U179" i="9" s="1"/>
  <c r="D175" i="9"/>
  <c r="W83" i="5"/>
  <c r="U90" i="5"/>
  <c r="W91" i="5"/>
  <c r="C177" i="9"/>
  <c r="U178" i="9" s="1"/>
  <c r="B176" i="9"/>
  <c r="T177" i="9" s="1"/>
  <c r="D174" i="9"/>
  <c r="V175" i="9" s="1"/>
  <c r="T188" i="9"/>
  <c r="T185" i="9"/>
  <c r="U88" i="5"/>
  <c r="U183" i="9"/>
  <c r="U86" i="5"/>
  <c r="H181" i="9"/>
  <c r="E185" i="9"/>
  <c r="F185" i="9" s="1"/>
  <c r="L239" i="9"/>
  <c r="L241" i="9"/>
  <c r="L271" i="9"/>
  <c r="L273" i="9"/>
  <c r="L304" i="9"/>
  <c r="L306" i="9"/>
  <c r="V176" i="9"/>
  <c r="E189" i="9"/>
  <c r="F189" i="9" s="1"/>
  <c r="H213" i="9"/>
  <c r="T174" i="9"/>
  <c r="L177" i="9"/>
  <c r="E188" i="9"/>
  <c r="F188" i="9" s="1"/>
  <c r="H144" i="9"/>
  <c r="L144" i="9" s="1"/>
  <c r="L108" i="9"/>
  <c r="L47" i="9"/>
  <c r="L77" i="9"/>
  <c r="H79" i="9"/>
  <c r="L79" i="9" s="1"/>
  <c r="L109" i="9"/>
  <c r="L141" i="9"/>
  <c r="L143" i="9"/>
  <c r="Z90" i="5"/>
  <c r="W87" i="5"/>
  <c r="V89" i="5"/>
  <c r="V92" i="5"/>
  <c r="V93" i="5"/>
  <c r="V86" i="5"/>
  <c r="U78" i="5"/>
  <c r="U84" i="5"/>
  <c r="Z80" i="5"/>
  <c r="W78" i="5"/>
  <c r="W79" i="5"/>
  <c r="AA82" i="5"/>
  <c r="Y87" i="5"/>
  <c r="AA90" i="5"/>
  <c r="U79" i="5"/>
  <c r="AA86" i="5"/>
  <c r="U91" i="5"/>
  <c r="W94" i="5"/>
  <c r="V78" i="5"/>
  <c r="Z78" i="5"/>
  <c r="AA78" i="5"/>
  <c r="V82" i="5"/>
  <c r="Z82" i="5"/>
  <c r="W82" i="5"/>
  <c r="Y77" i="5"/>
  <c r="U77" i="5"/>
  <c r="AA80" i="5"/>
  <c r="W80" i="5"/>
  <c r="Y85" i="5"/>
  <c r="U85" i="5"/>
  <c r="V88" i="5"/>
  <c r="Z88" i="5"/>
  <c r="AA88" i="5"/>
  <c r="W88" i="5"/>
  <c r="Y93" i="5"/>
  <c r="U93" i="5"/>
  <c r="Y83" i="5"/>
  <c r="Z86" i="5"/>
  <c r="V94" i="5"/>
  <c r="Z94" i="5"/>
  <c r="W77" i="5"/>
  <c r="AA77" i="5"/>
  <c r="Y81" i="5"/>
  <c r="U81" i="5"/>
  <c r="V84" i="5"/>
  <c r="Z84" i="5"/>
  <c r="AA84" i="5"/>
  <c r="W84" i="5"/>
  <c r="Y89" i="5"/>
  <c r="U89" i="5"/>
  <c r="Z92" i="5"/>
  <c r="AA92" i="5"/>
  <c r="W92" i="5"/>
  <c r="V77" i="5"/>
  <c r="V79" i="5"/>
  <c r="Y80" i="5"/>
  <c r="V81" i="5"/>
  <c r="AA81" i="5"/>
  <c r="Y82" i="5"/>
  <c r="V83" i="5"/>
  <c r="AA83" i="5"/>
  <c r="V85" i="5"/>
  <c r="AA85" i="5"/>
  <c r="Y86" i="5"/>
  <c r="V87" i="5"/>
  <c r="AA87" i="5"/>
  <c r="Y88" i="5"/>
  <c r="AA89" i="5"/>
  <c r="Y90" i="5"/>
  <c r="V91" i="5"/>
  <c r="AA91" i="5"/>
  <c r="Y92" i="5"/>
  <c r="AA93" i="5"/>
  <c r="Y94" i="5"/>
  <c r="Z77" i="5"/>
  <c r="Z79" i="5"/>
  <c r="Z81" i="5"/>
  <c r="Z83" i="5"/>
  <c r="Z85" i="5"/>
  <c r="Z87" i="5"/>
  <c r="Z89" i="5"/>
  <c r="Z91" i="5"/>
  <c r="Z93" i="5"/>
  <c r="H111" i="9"/>
  <c r="L111" i="9" s="1"/>
  <c r="L140" i="9"/>
  <c r="L45" i="9"/>
  <c r="L43" i="9"/>
  <c r="L44" i="9"/>
  <c r="L46" i="9"/>
  <c r="L110" i="9"/>
  <c r="H49" i="9"/>
  <c r="L75" i="9"/>
  <c r="L78" i="9"/>
  <c r="L107" i="9"/>
  <c r="L142" i="9"/>
  <c r="P11" i="9" l="1"/>
  <c r="P12" i="9"/>
  <c r="P22" i="9"/>
  <c r="H18" i="9"/>
  <c r="H19" i="9"/>
  <c r="P23" i="9"/>
  <c r="H20" i="9"/>
  <c r="K11" i="9"/>
  <c r="M11" i="9" s="1"/>
  <c r="H146" i="9"/>
  <c r="T187" i="9"/>
  <c r="E175" i="9"/>
  <c r="F175" i="9" s="1"/>
  <c r="K14" i="9"/>
  <c r="M14" i="9" s="1"/>
  <c r="E174" i="9"/>
  <c r="F174" i="9" s="1"/>
  <c r="H81" i="9"/>
  <c r="E181" i="9"/>
  <c r="F181" i="9" s="1"/>
  <c r="E183" i="9"/>
  <c r="F183" i="9" s="1"/>
  <c r="E184" i="9"/>
  <c r="F184" i="9" s="1"/>
  <c r="E190" i="9"/>
  <c r="F190" i="9" s="1"/>
  <c r="B147" i="9"/>
  <c r="H113" i="9"/>
  <c r="Q21" i="14"/>
  <c r="Q15" i="14"/>
  <c r="V183" i="9"/>
  <c r="E182" i="9"/>
  <c r="F182" i="9" s="1"/>
  <c r="U188" i="9"/>
  <c r="E187" i="9"/>
  <c r="F187" i="9" s="1"/>
  <c r="AV105" i="15"/>
  <c r="AD128" i="5"/>
  <c r="D145" i="13" s="1"/>
  <c r="AQ128" i="5"/>
  <c r="D175" i="13" s="1"/>
  <c r="AP126" i="5"/>
  <c r="C173" i="13" s="1"/>
  <c r="AC126" i="5"/>
  <c r="C143" i="13" s="1"/>
  <c r="E167" i="13"/>
  <c r="AD130" i="5"/>
  <c r="D147" i="13" s="1"/>
  <c r="AQ130" i="5"/>
  <c r="D177" i="13" s="1"/>
  <c r="E177" i="13" s="1"/>
  <c r="F177" i="13" s="1"/>
  <c r="AC128" i="5"/>
  <c r="C145" i="13" s="1"/>
  <c r="AP128" i="5"/>
  <c r="C175" i="13" s="1"/>
  <c r="AQ125" i="5"/>
  <c r="D172" i="13" s="1"/>
  <c r="AD125" i="5"/>
  <c r="D142" i="13" s="1"/>
  <c r="AC123" i="5"/>
  <c r="C140" i="13" s="1"/>
  <c r="AP123" i="5"/>
  <c r="C170" i="13" s="1"/>
  <c r="AP121" i="5"/>
  <c r="C168" i="13" s="1"/>
  <c r="AC121" i="5"/>
  <c r="C138" i="13" s="1"/>
  <c r="AV58" i="15"/>
  <c r="AT50" i="15"/>
  <c r="E122" i="13"/>
  <c r="F122" i="13" s="1"/>
  <c r="D123" i="13"/>
  <c r="E117" i="13"/>
  <c r="F117" i="13" s="1"/>
  <c r="AD137" i="5"/>
  <c r="D154" i="13" s="1"/>
  <c r="AQ137" i="5"/>
  <c r="D184" i="13" s="1"/>
  <c r="AC135" i="5"/>
  <c r="C152" i="13" s="1"/>
  <c r="AP135" i="5"/>
  <c r="C182" i="13" s="1"/>
  <c r="AO133" i="5"/>
  <c r="B180" i="13" s="1"/>
  <c r="AB133" i="5"/>
  <c r="B150" i="13" s="1"/>
  <c r="AP137" i="5"/>
  <c r="C184" i="13" s="1"/>
  <c r="AC137" i="5"/>
  <c r="C154" i="13" s="1"/>
  <c r="AB135" i="5"/>
  <c r="B152" i="13" s="1"/>
  <c r="AO135" i="5"/>
  <c r="B182" i="13" s="1"/>
  <c r="E143" i="13"/>
  <c r="F143" i="13" s="1"/>
  <c r="AD122" i="5"/>
  <c r="D139" i="13" s="1"/>
  <c r="AQ122" i="5"/>
  <c r="D169" i="13" s="1"/>
  <c r="AQ132" i="5"/>
  <c r="D179" i="13" s="1"/>
  <c r="AD132" i="5"/>
  <c r="D149" i="13" s="1"/>
  <c r="E149" i="13" s="1"/>
  <c r="F149" i="13" s="1"/>
  <c r="AP130" i="5"/>
  <c r="C177" i="13" s="1"/>
  <c r="AC130" i="5"/>
  <c r="C147" i="13" s="1"/>
  <c r="E175" i="13"/>
  <c r="F175" i="13" s="1"/>
  <c r="AD134" i="5"/>
  <c r="D151" i="13" s="1"/>
  <c r="AQ134" i="5"/>
  <c r="D181" i="13" s="1"/>
  <c r="AC132" i="5"/>
  <c r="C149" i="13" s="1"/>
  <c r="AP132" i="5"/>
  <c r="C179" i="13" s="1"/>
  <c r="E179" i="13" s="1"/>
  <c r="F179" i="13" s="1"/>
  <c r="AQ126" i="5"/>
  <c r="D173" i="13" s="1"/>
  <c r="AD126" i="5"/>
  <c r="D143" i="13" s="1"/>
  <c r="AB123" i="5"/>
  <c r="B140" i="13" s="1"/>
  <c r="AO123" i="5"/>
  <c r="B170" i="13" s="1"/>
  <c r="AC120" i="5"/>
  <c r="C137" i="13" s="1"/>
  <c r="AP120" i="5"/>
  <c r="C167" i="13" s="1"/>
  <c r="AT48" i="15"/>
  <c r="AU55" i="15"/>
  <c r="AD129" i="5"/>
  <c r="D146" i="13" s="1"/>
  <c r="AQ129" i="5"/>
  <c r="D176" i="13" s="1"/>
  <c r="AP127" i="5"/>
  <c r="C174" i="13" s="1"/>
  <c r="AC127" i="5"/>
  <c r="C144" i="13" s="1"/>
  <c r="AO125" i="5"/>
  <c r="B172" i="13" s="1"/>
  <c r="AB125" i="5"/>
  <c r="B142" i="13" s="1"/>
  <c r="AQ131" i="5"/>
  <c r="D178" i="13" s="1"/>
  <c r="AD131" i="5"/>
  <c r="D148" i="13" s="1"/>
  <c r="AC129" i="5"/>
  <c r="C146" i="13" s="1"/>
  <c r="AP129" i="5"/>
  <c r="C176" i="13" s="1"/>
  <c r="AB127" i="5"/>
  <c r="B144" i="13" s="1"/>
  <c r="AO127" i="5"/>
  <c r="B174" i="13" s="1"/>
  <c r="AC124" i="5"/>
  <c r="C141" i="13" s="1"/>
  <c r="AP124" i="5"/>
  <c r="C171" i="13" s="1"/>
  <c r="H277" i="9"/>
  <c r="AO137" i="5"/>
  <c r="B184" i="13" s="1"/>
  <c r="AB137" i="5"/>
  <c r="B154" i="13" s="1"/>
  <c r="E145" i="13"/>
  <c r="F145" i="13" s="1"/>
  <c r="AD124" i="5"/>
  <c r="D141" i="13" s="1"/>
  <c r="AQ124" i="5"/>
  <c r="D171" i="13" s="1"/>
  <c r="E147" i="13"/>
  <c r="F147" i="13" s="1"/>
  <c r="AU48" i="15"/>
  <c r="B272" i="9"/>
  <c r="AD136" i="5"/>
  <c r="D153" i="13" s="1"/>
  <c r="AQ136" i="5"/>
  <c r="D183" i="13" s="1"/>
  <c r="AP134" i="5"/>
  <c r="C181" i="13" s="1"/>
  <c r="AC134" i="5"/>
  <c r="C151" i="13" s="1"/>
  <c r="E151" i="13" s="1"/>
  <c r="F151" i="13" s="1"/>
  <c r="E137" i="13"/>
  <c r="AP136" i="5"/>
  <c r="C183" i="13" s="1"/>
  <c r="E183" i="13" s="1"/>
  <c r="F183" i="13" s="1"/>
  <c r="AC136" i="5"/>
  <c r="C153" i="13" s="1"/>
  <c r="E153" i="13" s="1"/>
  <c r="F153" i="13" s="1"/>
  <c r="E181" i="13"/>
  <c r="F181" i="13" s="1"/>
  <c r="AQ123" i="5"/>
  <c r="D170" i="13" s="1"/>
  <c r="AD123" i="5"/>
  <c r="D140" i="13" s="1"/>
  <c r="AD121" i="5"/>
  <c r="D138" i="13" s="1"/>
  <c r="AQ121" i="5"/>
  <c r="D168" i="13" s="1"/>
  <c r="AD133" i="5"/>
  <c r="D150" i="13" s="1"/>
  <c r="AQ133" i="5"/>
  <c r="D180" i="13" s="1"/>
  <c r="AC131" i="5"/>
  <c r="C148" i="13" s="1"/>
  <c r="AP131" i="5"/>
  <c r="C178" i="13" s="1"/>
  <c r="AO129" i="5"/>
  <c r="B176" i="13" s="1"/>
  <c r="E176" i="13" s="1"/>
  <c r="F176" i="13" s="1"/>
  <c r="AB129" i="5"/>
  <c r="B146" i="13" s="1"/>
  <c r="E146" i="13" s="1"/>
  <c r="F146" i="13" s="1"/>
  <c r="D185" i="13"/>
  <c r="D186" i="13" s="1"/>
  <c r="AQ135" i="5"/>
  <c r="D182" i="13" s="1"/>
  <c r="AD135" i="5"/>
  <c r="D152" i="13" s="1"/>
  <c r="AC133" i="5"/>
  <c r="C150" i="13" s="1"/>
  <c r="AP133" i="5"/>
  <c r="C180" i="13" s="1"/>
  <c r="AO131" i="5"/>
  <c r="B178" i="13" s="1"/>
  <c r="AB131" i="5"/>
  <c r="B148" i="13" s="1"/>
  <c r="AQ127" i="5"/>
  <c r="D174" i="13" s="1"/>
  <c r="AD127" i="5"/>
  <c r="D144" i="13" s="1"/>
  <c r="AC125" i="5"/>
  <c r="C142" i="13" s="1"/>
  <c r="AP125" i="5"/>
  <c r="C172" i="13" s="1"/>
  <c r="AO122" i="5"/>
  <c r="B169" i="13" s="1"/>
  <c r="AB122" i="5"/>
  <c r="B139" i="13" s="1"/>
  <c r="B155" i="13" s="1"/>
  <c r="B156" i="13" s="1"/>
  <c r="F191" i="9"/>
  <c r="D191" i="9"/>
  <c r="D192" i="9" s="1"/>
  <c r="C191" i="9"/>
  <c r="C192" i="9" s="1"/>
  <c r="B191" i="9"/>
  <c r="AB175" i="9"/>
  <c r="E120" i="13"/>
  <c r="F120" i="13" s="1"/>
  <c r="E123" i="13"/>
  <c r="F123" i="13" s="1"/>
  <c r="E116" i="13"/>
  <c r="F116" i="13" s="1"/>
  <c r="E180" i="9"/>
  <c r="F180" i="9" s="1"/>
  <c r="P184" i="9" s="1"/>
  <c r="E119" i="13"/>
  <c r="F119" i="13" s="1"/>
  <c r="E118" i="13"/>
  <c r="F118" i="13" s="1"/>
  <c r="E124" i="13"/>
  <c r="F124" i="13" s="1"/>
  <c r="E111" i="13"/>
  <c r="F111" i="13" s="1"/>
  <c r="E112" i="13"/>
  <c r="F112" i="13" s="1"/>
  <c r="E109" i="13"/>
  <c r="F109" i="13" s="1"/>
  <c r="F125" i="13"/>
  <c r="B125" i="13"/>
  <c r="E107" i="13"/>
  <c r="D125" i="13"/>
  <c r="D126" i="13" s="1"/>
  <c r="E115" i="13"/>
  <c r="F115" i="13" s="1"/>
  <c r="E110" i="13"/>
  <c r="F110" i="13" s="1"/>
  <c r="E113" i="13"/>
  <c r="F113" i="13" s="1"/>
  <c r="C125" i="13"/>
  <c r="C126" i="13" s="1"/>
  <c r="E114" i="13"/>
  <c r="F114" i="13" s="1"/>
  <c r="E108" i="13"/>
  <c r="F108" i="13" s="1"/>
  <c r="E176" i="9"/>
  <c r="F176" i="9" s="1"/>
  <c r="P180" i="9" s="1"/>
  <c r="D145" i="9"/>
  <c r="C140" i="9"/>
  <c r="C152" i="9"/>
  <c r="B139" i="9"/>
  <c r="P80" i="14"/>
  <c r="Q48" i="14"/>
  <c r="I46" i="14"/>
  <c r="J46" i="14" s="1"/>
  <c r="Q42" i="14"/>
  <c r="D62" i="14"/>
  <c r="I43" i="14" s="1"/>
  <c r="J43" i="14" s="1"/>
  <c r="B63" i="14"/>
  <c r="I44" i="14" s="1"/>
  <c r="J44" i="14" s="1"/>
  <c r="B118" i="9"/>
  <c r="B151" i="9" s="1"/>
  <c r="E112" i="14"/>
  <c r="F112" i="14" s="1"/>
  <c r="E106" i="14"/>
  <c r="F106" i="14" s="1"/>
  <c r="E114" i="14"/>
  <c r="F114" i="14" s="1"/>
  <c r="D114" i="9"/>
  <c r="D147" i="9" s="1"/>
  <c r="B113" i="9"/>
  <c r="B146" i="9" s="1"/>
  <c r="D113" i="9"/>
  <c r="D146" i="9" s="1"/>
  <c r="C108" i="9"/>
  <c r="C141" i="9" s="1"/>
  <c r="E81" i="14"/>
  <c r="F81" i="14" s="1"/>
  <c r="E79" i="14"/>
  <c r="F79" i="14" s="1"/>
  <c r="C145" i="9"/>
  <c r="E80" i="14"/>
  <c r="F80" i="14" s="1"/>
  <c r="C139" i="9"/>
  <c r="D109" i="9"/>
  <c r="D142" i="9" s="1"/>
  <c r="B109" i="9"/>
  <c r="B142" i="9" s="1"/>
  <c r="E75" i="14"/>
  <c r="F75" i="14" s="1"/>
  <c r="D107" i="9"/>
  <c r="D140" i="9" s="1"/>
  <c r="C110" i="9"/>
  <c r="C143" i="9" s="1"/>
  <c r="E110" i="14"/>
  <c r="F110" i="14" s="1"/>
  <c r="E78" i="14"/>
  <c r="F78" i="14" s="1"/>
  <c r="B107" i="9"/>
  <c r="B140" i="9" s="1"/>
  <c r="D111" i="9"/>
  <c r="D144" i="9" s="1"/>
  <c r="E74" i="14"/>
  <c r="F74" i="14" s="1"/>
  <c r="B111" i="9"/>
  <c r="B144" i="9" s="1"/>
  <c r="E77" i="14"/>
  <c r="F77" i="14" s="1"/>
  <c r="D91" i="14"/>
  <c r="D92" i="14" s="1"/>
  <c r="Q51" i="14"/>
  <c r="C91" i="14"/>
  <c r="C92" i="14" s="1"/>
  <c r="D138" i="9"/>
  <c r="C105" i="9"/>
  <c r="C138" i="9" s="1"/>
  <c r="C123" i="14"/>
  <c r="C124" i="14" s="1"/>
  <c r="B91" i="14"/>
  <c r="F91" i="14"/>
  <c r="E73" i="14"/>
  <c r="B105" i="9"/>
  <c r="B138" i="9" s="1"/>
  <c r="Q50" i="14"/>
  <c r="Q46" i="14"/>
  <c r="Q47" i="14"/>
  <c r="Q13" i="14"/>
  <c r="Q14" i="14"/>
  <c r="I17" i="14"/>
  <c r="D31" i="14"/>
  <c r="I16" i="14" s="1"/>
  <c r="J16" i="14" s="1"/>
  <c r="Q16" i="14"/>
  <c r="Q19" i="14"/>
  <c r="Q20" i="14"/>
  <c r="Q17" i="14"/>
  <c r="Q45" i="14"/>
  <c r="Q49" i="14"/>
  <c r="Q52" i="14"/>
  <c r="K11" i="14"/>
  <c r="M11" i="14" s="1"/>
  <c r="L19" i="14"/>
  <c r="Q9" i="14"/>
  <c r="Q41" i="14"/>
  <c r="I15" i="14"/>
  <c r="J15" i="14" s="1"/>
  <c r="J12" i="14"/>
  <c r="Q53" i="14"/>
  <c r="E177" i="9"/>
  <c r="F177" i="9" s="1"/>
  <c r="Y84" i="5"/>
  <c r="AC84" i="5" s="1"/>
  <c r="Y78" i="5"/>
  <c r="AC78" i="5" s="1"/>
  <c r="W90" i="5"/>
  <c r="AE90" i="5" s="1"/>
  <c r="AC82" i="5"/>
  <c r="AE85" i="5"/>
  <c r="AC80" i="5"/>
  <c r="AA94" i="5"/>
  <c r="AA79" i="5"/>
  <c r="AE79" i="5" s="1"/>
  <c r="E173" i="9"/>
  <c r="F173" i="9" s="1"/>
  <c r="P177" i="9" s="1"/>
  <c r="E178" i="9"/>
  <c r="F178" i="9" s="1"/>
  <c r="T180" i="9"/>
  <c r="E179" i="9"/>
  <c r="F179" i="9" s="1"/>
  <c r="H193" i="9" s="1"/>
  <c r="AE83" i="5"/>
  <c r="AD77" i="5"/>
  <c r="AC81" i="5"/>
  <c r="AE81" i="5"/>
  <c r="AD84" i="5"/>
  <c r="AC85" i="5"/>
  <c r="AC77" i="5"/>
  <c r="Y79" i="5"/>
  <c r="AC79" i="5" s="1"/>
  <c r="AD85" i="5"/>
  <c r="AE78" i="5"/>
  <c r="V80" i="5"/>
  <c r="AC90" i="5"/>
  <c r="AC93" i="5"/>
  <c r="AC92" i="5"/>
  <c r="AD93" i="5"/>
  <c r="AD94" i="5"/>
  <c r="AE93" i="5"/>
  <c r="AC88" i="5"/>
  <c r="E248" i="9"/>
  <c r="F248" i="9" s="1"/>
  <c r="Y91" i="5"/>
  <c r="E216" i="9"/>
  <c r="F216" i="9" s="1"/>
  <c r="AE87" i="5"/>
  <c r="AE92" i="5"/>
  <c r="AC94" i="5"/>
  <c r="AE91" i="5"/>
  <c r="AD92" i="5"/>
  <c r="U87" i="5"/>
  <c r="AC87" i="5" s="1"/>
  <c r="AE89" i="5"/>
  <c r="E253" i="9"/>
  <c r="F253" i="9" s="1"/>
  <c r="E247" i="9"/>
  <c r="F247" i="9" s="1"/>
  <c r="E222" i="9"/>
  <c r="F222" i="9" s="1"/>
  <c r="AC86" i="5"/>
  <c r="H188" i="9"/>
  <c r="P178" i="9"/>
  <c r="B192" i="9"/>
  <c r="H195" i="9"/>
  <c r="P185" i="9"/>
  <c r="H194" i="9"/>
  <c r="P174" i="9"/>
  <c r="P179" i="9"/>
  <c r="H189" i="9"/>
  <c r="V90" i="5"/>
  <c r="AD89" i="5"/>
  <c r="AD87" i="5"/>
  <c r="AE94" i="5"/>
  <c r="W86" i="5"/>
  <c r="AD83" i="5"/>
  <c r="AD81" i="5"/>
  <c r="U83" i="5"/>
  <c r="AE82" i="5"/>
  <c r="AD80" i="5"/>
  <c r="AE84" i="5"/>
  <c r="AE77" i="5"/>
  <c r="AD86" i="5"/>
  <c r="AE88" i="5"/>
  <c r="AD82" i="5"/>
  <c r="AD79" i="5"/>
  <c r="AD91" i="5"/>
  <c r="AC89" i="5"/>
  <c r="AD88" i="5"/>
  <c r="AE80" i="5"/>
  <c r="AD78" i="5"/>
  <c r="H187" i="9" l="1"/>
  <c r="P183" i="9"/>
  <c r="K12" i="14"/>
  <c r="M12" i="14" s="1"/>
  <c r="K15" i="14"/>
  <c r="M15" i="14" s="1"/>
  <c r="E169" i="13"/>
  <c r="F169" i="13" s="1"/>
  <c r="D155" i="13"/>
  <c r="D156" i="13" s="1"/>
  <c r="E142" i="13"/>
  <c r="F142" i="13" s="1"/>
  <c r="C185" i="13"/>
  <c r="C186" i="13" s="1"/>
  <c r="E182" i="13"/>
  <c r="F182" i="13" s="1"/>
  <c r="E141" i="13"/>
  <c r="F141" i="13" s="1"/>
  <c r="E173" i="13"/>
  <c r="F173" i="13" s="1"/>
  <c r="F185" i="13"/>
  <c r="E148" i="13"/>
  <c r="F148" i="13" s="1"/>
  <c r="F155" i="13"/>
  <c r="E154" i="13"/>
  <c r="F154" i="13" s="1"/>
  <c r="E172" i="13"/>
  <c r="F172" i="13" s="1"/>
  <c r="C155" i="13"/>
  <c r="C156" i="13" s="1"/>
  <c r="E152" i="13"/>
  <c r="F152" i="13" s="1"/>
  <c r="P147" i="13" s="1"/>
  <c r="E171" i="13"/>
  <c r="F171" i="13" s="1"/>
  <c r="E178" i="13"/>
  <c r="F178" i="13" s="1"/>
  <c r="P168" i="13" s="1"/>
  <c r="E184" i="13"/>
  <c r="F184" i="13" s="1"/>
  <c r="E174" i="13"/>
  <c r="F174" i="13" s="1"/>
  <c r="E170" i="13"/>
  <c r="F170" i="13" s="1"/>
  <c r="E138" i="13"/>
  <c r="F138" i="13" s="1"/>
  <c r="E150" i="13"/>
  <c r="F150" i="13" s="1"/>
  <c r="P138" i="13" s="1"/>
  <c r="E168" i="13"/>
  <c r="F168" i="13" s="1"/>
  <c r="B185" i="13"/>
  <c r="B186" i="13" s="1"/>
  <c r="E139" i="13"/>
  <c r="F139" i="13" s="1"/>
  <c r="F137" i="13"/>
  <c r="P149" i="13"/>
  <c r="E144" i="13"/>
  <c r="F144" i="13" s="1"/>
  <c r="E140" i="13"/>
  <c r="F140" i="13" s="1"/>
  <c r="E180" i="13"/>
  <c r="F180" i="13" s="1"/>
  <c r="F167" i="13"/>
  <c r="P171" i="13" s="1"/>
  <c r="H190" i="9"/>
  <c r="P108" i="13"/>
  <c r="P114" i="13"/>
  <c r="P112" i="13"/>
  <c r="P119" i="13"/>
  <c r="P118" i="13"/>
  <c r="B126" i="13"/>
  <c r="P116" i="13"/>
  <c r="P117" i="13"/>
  <c r="F107" i="13"/>
  <c r="E125" i="13"/>
  <c r="B127" i="13" s="1"/>
  <c r="B128" i="13" s="1"/>
  <c r="B129" i="13"/>
  <c r="I110" i="13" s="1"/>
  <c r="P113" i="13"/>
  <c r="P115" i="13"/>
  <c r="P173" i="9"/>
  <c r="Q173" i="9" s="1"/>
  <c r="P110" i="14"/>
  <c r="P114" i="14"/>
  <c r="P116" i="14"/>
  <c r="P82" i="14"/>
  <c r="P84" i="14"/>
  <c r="P85" i="14"/>
  <c r="P83" i="14"/>
  <c r="P81" i="14"/>
  <c r="P79" i="14"/>
  <c r="P78" i="14"/>
  <c r="K44" i="14"/>
  <c r="M44" i="14" s="1"/>
  <c r="D63" i="14"/>
  <c r="I48" i="14" s="1"/>
  <c r="J48" i="14" s="1"/>
  <c r="P43" i="14" s="1"/>
  <c r="I47" i="14"/>
  <c r="J47" i="14" s="1"/>
  <c r="K47" i="14" s="1"/>
  <c r="M47" i="14" s="1"/>
  <c r="E118" i="14"/>
  <c r="F118" i="14" s="1"/>
  <c r="P106" i="14" s="1"/>
  <c r="E107" i="14"/>
  <c r="F107" i="14" s="1"/>
  <c r="E108" i="14"/>
  <c r="F108" i="14" s="1"/>
  <c r="D123" i="14"/>
  <c r="D124" i="14" s="1"/>
  <c r="E109" i="14"/>
  <c r="F109" i="14" s="1"/>
  <c r="E113" i="14"/>
  <c r="F113" i="14" s="1"/>
  <c r="E111" i="14"/>
  <c r="F111" i="14" s="1"/>
  <c r="B123" i="14"/>
  <c r="E105" i="14"/>
  <c r="F123" i="14"/>
  <c r="F73" i="14"/>
  <c r="E91" i="14"/>
  <c r="B93" i="14" s="1"/>
  <c r="B94" i="14" s="1"/>
  <c r="B92" i="14"/>
  <c r="K13" i="14"/>
  <c r="M13" i="14" s="1"/>
  <c r="H20" i="14"/>
  <c r="P23" i="14"/>
  <c r="P11" i="14"/>
  <c r="H18" i="14"/>
  <c r="P22" i="14"/>
  <c r="H19" i="14"/>
  <c r="P12" i="14"/>
  <c r="K46" i="14"/>
  <c r="M46" i="14" s="1"/>
  <c r="K43" i="14"/>
  <c r="M43" i="14" s="1"/>
  <c r="K14" i="14"/>
  <c r="M14" i="14" s="1"/>
  <c r="K45" i="14"/>
  <c r="M45" i="14" s="1"/>
  <c r="P181" i="9"/>
  <c r="H191" i="9"/>
  <c r="C255" i="9"/>
  <c r="C256" i="9" s="1"/>
  <c r="E217" i="9"/>
  <c r="F217" i="9" s="1"/>
  <c r="E244" i="9"/>
  <c r="F244" i="9" s="1"/>
  <c r="P248" i="9" s="1"/>
  <c r="E191" i="9"/>
  <c r="B193" i="9" s="1"/>
  <c r="I178" i="9" s="1"/>
  <c r="J178" i="9" s="1"/>
  <c r="E245" i="9"/>
  <c r="F245" i="9" s="1"/>
  <c r="C316" i="9"/>
  <c r="C307" i="9"/>
  <c r="E205" i="9"/>
  <c r="F205" i="9" s="1"/>
  <c r="E240" i="9"/>
  <c r="F240" i="9" s="1"/>
  <c r="E242" i="9"/>
  <c r="F242" i="9" s="1"/>
  <c r="E238" i="9"/>
  <c r="F238" i="9" s="1"/>
  <c r="P242" i="9" s="1"/>
  <c r="C314" i="9"/>
  <c r="B311" i="9"/>
  <c r="D314" i="9"/>
  <c r="C317" i="9"/>
  <c r="D312" i="9"/>
  <c r="B313" i="9"/>
  <c r="C319" i="9"/>
  <c r="B317" i="9"/>
  <c r="C304" i="9"/>
  <c r="D306" i="9"/>
  <c r="E209" i="9"/>
  <c r="F209" i="9" s="1"/>
  <c r="B306" i="9"/>
  <c r="P182" i="9"/>
  <c r="Q182" i="9" s="1"/>
  <c r="H192" i="9"/>
  <c r="E237" i="9"/>
  <c r="F237" i="9" s="1"/>
  <c r="E241" i="9"/>
  <c r="F241" i="9" s="1"/>
  <c r="E243" i="9"/>
  <c r="F243" i="9" s="1"/>
  <c r="C313" i="9"/>
  <c r="D307" i="9"/>
  <c r="C306" i="9"/>
  <c r="C312" i="9"/>
  <c r="D308" i="9"/>
  <c r="E213" i="9"/>
  <c r="F213" i="9" s="1"/>
  <c r="P217" i="9" s="1"/>
  <c r="C310" i="9"/>
  <c r="B303" i="9"/>
  <c r="E206" i="9"/>
  <c r="F206" i="9" s="1"/>
  <c r="C309" i="9"/>
  <c r="D305" i="9"/>
  <c r="D309" i="9"/>
  <c r="D304" i="9"/>
  <c r="C308" i="9"/>
  <c r="D310" i="9"/>
  <c r="D302" i="9"/>
  <c r="D315" i="9"/>
  <c r="D313" i="9"/>
  <c r="AC83" i="5"/>
  <c r="D316" i="9"/>
  <c r="E251" i="9"/>
  <c r="F251" i="9" s="1"/>
  <c r="C318" i="9"/>
  <c r="E207" i="9"/>
  <c r="F207" i="9" s="1"/>
  <c r="P211" i="9" s="1"/>
  <c r="B304" i="9"/>
  <c r="D303" i="9"/>
  <c r="E277" i="9"/>
  <c r="F277" i="9" s="1"/>
  <c r="C302" i="9"/>
  <c r="E210" i="9"/>
  <c r="F210" i="9" s="1"/>
  <c r="B309" i="9"/>
  <c r="E212" i="9"/>
  <c r="F212" i="9" s="1"/>
  <c r="E272" i="9"/>
  <c r="F272" i="9" s="1"/>
  <c r="E276" i="9"/>
  <c r="F276" i="9" s="1"/>
  <c r="D317" i="9"/>
  <c r="E252" i="9"/>
  <c r="F252" i="9" s="1"/>
  <c r="AC91" i="5"/>
  <c r="AD90" i="5"/>
  <c r="E250" i="9"/>
  <c r="F250" i="9" s="1"/>
  <c r="B315" i="9"/>
  <c r="E219" i="9"/>
  <c r="F219" i="9" s="1"/>
  <c r="D255" i="9"/>
  <c r="D256" i="9" s="1"/>
  <c r="E285" i="9"/>
  <c r="F285" i="9" s="1"/>
  <c r="E254" i="9"/>
  <c r="F254" i="9" s="1"/>
  <c r="P249" i="9" s="1"/>
  <c r="E221" i="9"/>
  <c r="F221" i="9" s="1"/>
  <c r="B318" i="9"/>
  <c r="E249" i="9"/>
  <c r="F249" i="9" s="1"/>
  <c r="P244" i="9" s="1"/>
  <c r="E220" i="9"/>
  <c r="F220" i="9" s="1"/>
  <c r="D318" i="9"/>
  <c r="B314" i="9"/>
  <c r="B312" i="9"/>
  <c r="E215" i="9"/>
  <c r="F215" i="9" s="1"/>
  <c r="E284" i="9"/>
  <c r="F284" i="9" s="1"/>
  <c r="C311" i="9"/>
  <c r="AE86" i="5"/>
  <c r="E246" i="9"/>
  <c r="L183" i="9"/>
  <c r="I177" i="9"/>
  <c r="J177" i="9" s="1"/>
  <c r="P280" i="9" l="1"/>
  <c r="P143" i="13"/>
  <c r="P172" i="13"/>
  <c r="P146" i="13"/>
  <c r="E185" i="13"/>
  <c r="B187" i="13" s="1"/>
  <c r="P177" i="13"/>
  <c r="P179" i="13"/>
  <c r="P173" i="13"/>
  <c r="P167" i="13"/>
  <c r="P148" i="13"/>
  <c r="E155" i="13"/>
  <c r="B157" i="13" s="1"/>
  <c r="P142" i="13"/>
  <c r="P178" i="13"/>
  <c r="P175" i="13"/>
  <c r="P176" i="13"/>
  <c r="P144" i="13"/>
  <c r="P141" i="13"/>
  <c r="P137" i="13"/>
  <c r="P145" i="13"/>
  <c r="P174" i="13"/>
  <c r="I112" i="13"/>
  <c r="J112" i="13" s="1"/>
  <c r="B194" i="9"/>
  <c r="I181" i="9" s="1"/>
  <c r="I111" i="13"/>
  <c r="J111" i="13" s="1"/>
  <c r="D128" i="13"/>
  <c r="I109" i="13" s="1"/>
  <c r="J109" i="13" s="1"/>
  <c r="J110" i="13"/>
  <c r="P107" i="13"/>
  <c r="P111" i="13"/>
  <c r="D194" i="9"/>
  <c r="I175" i="9" s="1"/>
  <c r="J175" i="9" s="1"/>
  <c r="B195" i="9"/>
  <c r="I176" i="9" s="1"/>
  <c r="J176" i="9" s="1"/>
  <c r="I115" i="13"/>
  <c r="P246" i="9"/>
  <c r="Q181" i="9"/>
  <c r="Q180" i="9"/>
  <c r="Q184" i="9"/>
  <c r="Q183" i="9"/>
  <c r="Q179" i="9"/>
  <c r="Q185" i="9"/>
  <c r="Q178" i="9"/>
  <c r="Q174" i="9"/>
  <c r="Q177" i="9"/>
  <c r="P247" i="9"/>
  <c r="P115" i="14"/>
  <c r="P112" i="14"/>
  <c r="P111" i="14"/>
  <c r="P117" i="14"/>
  <c r="P113" i="14"/>
  <c r="H51" i="14"/>
  <c r="H52" i="14"/>
  <c r="P44" i="14"/>
  <c r="H50" i="14"/>
  <c r="P55" i="14"/>
  <c r="P54" i="14"/>
  <c r="D94" i="14"/>
  <c r="I75" i="14" s="1"/>
  <c r="J75" i="14" s="1"/>
  <c r="K75" i="14" s="1"/>
  <c r="M75" i="14" s="1"/>
  <c r="I78" i="14"/>
  <c r="J78" i="14" s="1"/>
  <c r="K78" i="14" s="1"/>
  <c r="M78" i="14" s="1"/>
  <c r="I77" i="14"/>
  <c r="J77" i="14" s="1"/>
  <c r="K77" i="14" s="1"/>
  <c r="M77" i="14" s="1"/>
  <c r="B95" i="14"/>
  <c r="I76" i="14" s="1"/>
  <c r="J76" i="14" s="1"/>
  <c r="K76" i="14" s="1"/>
  <c r="M76" i="14" s="1"/>
  <c r="I81" i="14"/>
  <c r="B124" i="14"/>
  <c r="E123" i="14"/>
  <c r="B125" i="14" s="1"/>
  <c r="B126" i="14" s="1"/>
  <c r="F105" i="14"/>
  <c r="P73" i="14"/>
  <c r="P77" i="14"/>
  <c r="E313" i="9"/>
  <c r="F313" i="9" s="1"/>
  <c r="E286" i="9"/>
  <c r="F286" i="9" s="1"/>
  <c r="P281" i="9" s="1"/>
  <c r="E270" i="9"/>
  <c r="F270" i="9" s="1"/>
  <c r="F255" i="9"/>
  <c r="C303" i="9"/>
  <c r="E303" i="9" s="1"/>
  <c r="F303" i="9" s="1"/>
  <c r="E309" i="9"/>
  <c r="F309" i="9" s="1"/>
  <c r="D319" i="9"/>
  <c r="B255" i="9"/>
  <c r="B256" i="9" s="1"/>
  <c r="B319" i="9"/>
  <c r="B223" i="9"/>
  <c r="B224" i="9" s="1"/>
  <c r="E269" i="9"/>
  <c r="F269" i="9" s="1"/>
  <c r="E280" i="9"/>
  <c r="F280" i="9" s="1"/>
  <c r="E281" i="9"/>
  <c r="F281" i="9" s="1"/>
  <c r="P276" i="9" s="1"/>
  <c r="P245" i="9"/>
  <c r="E274" i="9"/>
  <c r="F274" i="9" s="1"/>
  <c r="B308" i="9"/>
  <c r="E308" i="9" s="1"/>
  <c r="F308" i="9" s="1"/>
  <c r="E306" i="9"/>
  <c r="F306" i="9" s="1"/>
  <c r="E273" i="9"/>
  <c r="F273" i="9" s="1"/>
  <c r="B302" i="9"/>
  <c r="E302" i="9" s="1"/>
  <c r="F302" i="9" s="1"/>
  <c r="E239" i="9"/>
  <c r="F239" i="9" s="1"/>
  <c r="C305" i="9"/>
  <c r="E208" i="9"/>
  <c r="F208" i="9" s="1"/>
  <c r="E304" i="9"/>
  <c r="F304" i="9" s="1"/>
  <c r="E271" i="9"/>
  <c r="F271" i="9" s="1"/>
  <c r="E211" i="9"/>
  <c r="F211" i="9" s="1"/>
  <c r="B307" i="9"/>
  <c r="E307" i="9" s="1"/>
  <c r="F307" i="9" s="1"/>
  <c r="B305" i="9"/>
  <c r="E305" i="9" s="1"/>
  <c r="F305" i="9" s="1"/>
  <c r="E279" i="9"/>
  <c r="F279" i="9" s="1"/>
  <c r="B310" i="9"/>
  <c r="E310" i="9" s="1"/>
  <c r="F310" i="9" s="1"/>
  <c r="E312" i="9"/>
  <c r="F312" i="9" s="1"/>
  <c r="P214" i="9"/>
  <c r="C315" i="9"/>
  <c r="E218" i="9"/>
  <c r="F218" i="9" s="1"/>
  <c r="C223" i="9"/>
  <c r="C224" i="9" s="1"/>
  <c r="E314" i="9"/>
  <c r="F314" i="9" s="1"/>
  <c r="P210" i="9"/>
  <c r="P216" i="9"/>
  <c r="E318" i="9"/>
  <c r="F318" i="9" s="1"/>
  <c r="E317" i="9"/>
  <c r="F317" i="9" s="1"/>
  <c r="D311" i="9"/>
  <c r="D320" i="9" s="1"/>
  <c r="D223" i="9"/>
  <c r="F223" i="9"/>
  <c r="E214" i="9"/>
  <c r="F246" i="9"/>
  <c r="E255" i="9"/>
  <c r="B257" i="9" s="1"/>
  <c r="I179" i="9"/>
  <c r="J179" i="9" s="1"/>
  <c r="P274" i="9" l="1"/>
  <c r="E319" i="9"/>
  <c r="F319" i="9" s="1"/>
  <c r="P314" i="9" s="1"/>
  <c r="I142" i="13"/>
  <c r="J142" i="13" s="1"/>
  <c r="D158" i="13"/>
  <c r="I139" i="13" s="1"/>
  <c r="J139" i="13" s="1"/>
  <c r="B158" i="13"/>
  <c r="I141" i="13"/>
  <c r="J141" i="13" s="1"/>
  <c r="B159" i="13"/>
  <c r="I140" i="13" s="1"/>
  <c r="I172" i="13"/>
  <c r="J172" i="13" s="1"/>
  <c r="B189" i="13"/>
  <c r="I170" i="13" s="1"/>
  <c r="I171" i="13"/>
  <c r="J171" i="13" s="1"/>
  <c r="B188" i="13"/>
  <c r="D188" i="13"/>
  <c r="I169" i="13" s="1"/>
  <c r="J169" i="13" s="1"/>
  <c r="I113" i="13"/>
  <c r="J113" i="13" s="1"/>
  <c r="D195" i="9"/>
  <c r="I180" i="9" s="1"/>
  <c r="J180" i="9" s="1"/>
  <c r="H183" i="9" s="1"/>
  <c r="D129" i="13"/>
  <c r="I114" i="13" s="1"/>
  <c r="J114" i="13" s="1"/>
  <c r="I110" i="14"/>
  <c r="J110" i="14" s="1"/>
  <c r="K110" i="14" s="1"/>
  <c r="M110" i="14" s="1"/>
  <c r="I79" i="14"/>
  <c r="J79" i="14" s="1"/>
  <c r="K79" i="14" s="1"/>
  <c r="M79" i="14" s="1"/>
  <c r="I109" i="14"/>
  <c r="J109" i="14" s="1"/>
  <c r="K109" i="14" s="1"/>
  <c r="M109" i="14" s="1"/>
  <c r="D95" i="14"/>
  <c r="I80" i="14" s="1"/>
  <c r="J80" i="14" s="1"/>
  <c r="H84" i="14" s="1"/>
  <c r="B127" i="14"/>
  <c r="I108" i="14" s="1"/>
  <c r="J108" i="14" s="1"/>
  <c r="K108" i="14" s="1"/>
  <c r="M108" i="14" s="1"/>
  <c r="Q73" i="14"/>
  <c r="Q74" i="14"/>
  <c r="I113" i="14"/>
  <c r="D126" i="14"/>
  <c r="I107" i="14" s="1"/>
  <c r="J107" i="14" s="1"/>
  <c r="K107" i="14" s="1"/>
  <c r="M107" i="14" s="1"/>
  <c r="Q80" i="14"/>
  <c r="Q84" i="14"/>
  <c r="Q82" i="14"/>
  <c r="Q83" i="14"/>
  <c r="Q77" i="14"/>
  <c r="Q78" i="14"/>
  <c r="Q79" i="14"/>
  <c r="Q81" i="14"/>
  <c r="Q85" i="14"/>
  <c r="P105" i="14"/>
  <c r="P109" i="14"/>
  <c r="P308" i="9"/>
  <c r="P313" i="9"/>
  <c r="P309" i="9"/>
  <c r="P302" i="9"/>
  <c r="P307" i="9"/>
  <c r="P312" i="9"/>
  <c r="C320" i="9"/>
  <c r="C321" i="9" s="1"/>
  <c r="P215" i="9"/>
  <c r="D287" i="9"/>
  <c r="D288" i="9" s="1"/>
  <c r="E278" i="9"/>
  <c r="F278" i="9" s="1"/>
  <c r="P273" i="9" s="1"/>
  <c r="P212" i="9"/>
  <c r="P205" i="9"/>
  <c r="E315" i="9"/>
  <c r="F315" i="9" s="1"/>
  <c r="P310" i="9" s="1"/>
  <c r="E283" i="9"/>
  <c r="F283" i="9" s="1"/>
  <c r="P278" i="9" s="1"/>
  <c r="B316" i="9"/>
  <c r="F320" i="9" s="1"/>
  <c r="P243" i="9"/>
  <c r="P237" i="9"/>
  <c r="E282" i="9"/>
  <c r="F282" i="9" s="1"/>
  <c r="P277" i="9" s="1"/>
  <c r="C287" i="9"/>
  <c r="C288" i="9" s="1"/>
  <c r="E275" i="9"/>
  <c r="F287" i="9"/>
  <c r="B287" i="9"/>
  <c r="B288" i="9" s="1"/>
  <c r="P275" i="9"/>
  <c r="P213" i="9"/>
  <c r="E311" i="9"/>
  <c r="F214" i="9"/>
  <c r="E223" i="9"/>
  <c r="B225" i="9" s="1"/>
  <c r="B226" i="9" s="1"/>
  <c r="D321" i="9"/>
  <c r="D224" i="9"/>
  <c r="B258" i="9"/>
  <c r="I241" i="9"/>
  <c r="J241" i="9" s="1"/>
  <c r="B259" i="9"/>
  <c r="I240" i="9" s="1"/>
  <c r="D258" i="9"/>
  <c r="I239" i="9" s="1"/>
  <c r="J239" i="9" s="1"/>
  <c r="I242" i="9"/>
  <c r="J242" i="9" s="1"/>
  <c r="P238" i="9"/>
  <c r="P241" i="9"/>
  <c r="P187" i="9"/>
  <c r="H182" i="9"/>
  <c r="P186" i="9"/>
  <c r="P175" i="9"/>
  <c r="P270" i="9" l="1"/>
  <c r="D189" i="13"/>
  <c r="I174" i="13" s="1"/>
  <c r="J174" i="13" s="1"/>
  <c r="I175" i="13"/>
  <c r="J140" i="13"/>
  <c r="I143" i="13"/>
  <c r="J143" i="13" s="1"/>
  <c r="J170" i="13"/>
  <c r="I173" i="13"/>
  <c r="J173" i="13" s="1"/>
  <c r="I145" i="13"/>
  <c r="D159" i="13"/>
  <c r="I144" i="13" s="1"/>
  <c r="J144" i="13" s="1"/>
  <c r="H184" i="9"/>
  <c r="P176" i="9"/>
  <c r="P121" i="13"/>
  <c r="P109" i="13"/>
  <c r="H116" i="13"/>
  <c r="H118" i="13"/>
  <c r="P110" i="13"/>
  <c r="P120" i="13"/>
  <c r="H117" i="13"/>
  <c r="P87" i="14"/>
  <c r="P76" i="14"/>
  <c r="P86" i="14"/>
  <c r="H82" i="14"/>
  <c r="P75" i="14"/>
  <c r="H83" i="14"/>
  <c r="I111" i="14"/>
  <c r="J111" i="14" s="1"/>
  <c r="K111" i="14" s="1"/>
  <c r="M111" i="14" s="1"/>
  <c r="D127" i="14"/>
  <c r="I112" i="14" s="1"/>
  <c r="J112" i="14" s="1"/>
  <c r="Q106" i="14"/>
  <c r="Q105" i="14"/>
  <c r="Q117" i="14"/>
  <c r="Q113" i="14"/>
  <c r="Q111" i="14"/>
  <c r="Q116" i="14"/>
  <c r="Q110" i="14"/>
  <c r="Q114" i="14"/>
  <c r="Q109" i="14"/>
  <c r="Q115" i="14"/>
  <c r="Q112" i="14"/>
  <c r="F275" i="9"/>
  <c r="E287" i="9"/>
  <c r="B289" i="9" s="1"/>
  <c r="E316" i="9"/>
  <c r="F316" i="9" s="1"/>
  <c r="P311" i="9" s="1"/>
  <c r="B320" i="9"/>
  <c r="B321" i="9" s="1"/>
  <c r="I209" i="9"/>
  <c r="J209" i="9" s="1"/>
  <c r="I210" i="9"/>
  <c r="J210" i="9" s="1"/>
  <c r="D226" i="9"/>
  <c r="I207" i="9" s="1"/>
  <c r="J207" i="9" s="1"/>
  <c r="B227" i="9"/>
  <c r="I208" i="9" s="1"/>
  <c r="F311" i="9"/>
  <c r="P206" i="9"/>
  <c r="Q205" i="9" s="1"/>
  <c r="P209" i="9"/>
  <c r="I213" i="9"/>
  <c r="I245" i="9"/>
  <c r="D259" i="9"/>
  <c r="I244" i="9" s="1"/>
  <c r="J244" i="9" s="1"/>
  <c r="I243" i="9"/>
  <c r="J243" i="9" s="1"/>
  <c r="J240" i="9"/>
  <c r="P150" i="13" l="1"/>
  <c r="H146" i="13"/>
  <c r="P140" i="13"/>
  <c r="P139" i="13"/>
  <c r="H148" i="13"/>
  <c r="P151" i="13"/>
  <c r="H147" i="13"/>
  <c r="P181" i="13"/>
  <c r="H177" i="13"/>
  <c r="P180" i="13"/>
  <c r="H176" i="13"/>
  <c r="P170" i="13"/>
  <c r="P169" i="13"/>
  <c r="H178" i="13"/>
  <c r="P107" i="14"/>
  <c r="H114" i="14"/>
  <c r="P108" i="14"/>
  <c r="P119" i="14"/>
  <c r="H115" i="14"/>
  <c r="P118" i="14"/>
  <c r="H116" i="14"/>
  <c r="Q206" i="9"/>
  <c r="Q211" i="9"/>
  <c r="Q215" i="9"/>
  <c r="Q210" i="9"/>
  <c r="Q214" i="9"/>
  <c r="Q209" i="9"/>
  <c r="Q213" i="9"/>
  <c r="Q217" i="9"/>
  <c r="Q212" i="9"/>
  <c r="Q216" i="9"/>
  <c r="D227" i="9"/>
  <c r="I212" i="9" s="1"/>
  <c r="J212" i="9" s="1"/>
  <c r="H215" i="9" s="1"/>
  <c r="E320" i="9"/>
  <c r="B322" i="9" s="1"/>
  <c r="I307" i="9" s="1"/>
  <c r="J307" i="9" s="1"/>
  <c r="I211" i="9"/>
  <c r="J211" i="9" s="1"/>
  <c r="J208" i="9"/>
  <c r="P279" i="9"/>
  <c r="P269" i="9"/>
  <c r="I273" i="9"/>
  <c r="J273" i="9" s="1"/>
  <c r="B290" i="9"/>
  <c r="I274" i="9"/>
  <c r="J274" i="9" s="1"/>
  <c r="D290" i="9"/>
  <c r="I271" i="9" s="1"/>
  <c r="J271" i="9" s="1"/>
  <c r="B291" i="9"/>
  <c r="I272" i="9" s="1"/>
  <c r="P303" i="9"/>
  <c r="P306" i="9"/>
  <c r="B323" i="9"/>
  <c r="H248" i="9"/>
  <c r="P239" i="9"/>
  <c r="P251" i="9"/>
  <c r="P240" i="9"/>
  <c r="H246" i="9"/>
  <c r="P250" i="9"/>
  <c r="H247" i="9"/>
  <c r="I306" i="9" l="1"/>
  <c r="J306" i="9" s="1"/>
  <c r="P208" i="9"/>
  <c r="P219" i="9"/>
  <c r="P218" i="9"/>
  <c r="P207" i="9"/>
  <c r="H216" i="9"/>
  <c r="H214" i="9"/>
  <c r="B324" i="9"/>
  <c r="I305" i="9" s="1"/>
  <c r="J305" i="9" s="1"/>
  <c r="D323" i="9"/>
  <c r="I304" i="9" s="1"/>
  <c r="J304" i="9" s="1"/>
  <c r="I277" i="9"/>
  <c r="D291" i="9"/>
  <c r="I276" i="9" s="1"/>
  <c r="J276" i="9" s="1"/>
  <c r="I275" i="9"/>
  <c r="J275" i="9" s="1"/>
  <c r="J272" i="9"/>
  <c r="I310" i="9"/>
  <c r="I308" i="9" l="1"/>
  <c r="J308" i="9" s="1"/>
  <c r="D324" i="9"/>
  <c r="I309" i="9" s="1"/>
  <c r="J309" i="9" s="1"/>
  <c r="P304" i="9" s="1"/>
  <c r="H278" i="9"/>
  <c r="H280" i="9"/>
  <c r="P271" i="9"/>
  <c r="P282" i="9"/>
  <c r="H279" i="9"/>
  <c r="P283" i="9"/>
  <c r="P272" i="9"/>
  <c r="H312" i="9" l="1"/>
  <c r="H313" i="9"/>
  <c r="P316" i="9"/>
  <c r="P305" i="9"/>
  <c r="H311" i="9"/>
  <c r="P315" i="9"/>
  <c r="L242" i="8"/>
  <c r="H241" i="8"/>
  <c r="H239" i="8"/>
  <c r="H238" i="8"/>
  <c r="H237" i="8"/>
  <c r="H236" i="8"/>
  <c r="D219" i="8"/>
  <c r="D251" i="8" s="1"/>
  <c r="C219" i="8"/>
  <c r="C251" i="8" s="1"/>
  <c r="B219" i="8"/>
  <c r="D218" i="8"/>
  <c r="D250" i="8" s="1"/>
  <c r="C218" i="8"/>
  <c r="B218" i="8"/>
  <c r="B250" i="8" s="1"/>
  <c r="D217" i="8"/>
  <c r="D249" i="8" s="1"/>
  <c r="C217" i="8"/>
  <c r="C249" i="8" s="1"/>
  <c r="B217" i="8"/>
  <c r="B249" i="8" s="1"/>
  <c r="D216" i="8"/>
  <c r="D248" i="8" s="1"/>
  <c r="C216" i="8"/>
  <c r="C248" i="8" s="1"/>
  <c r="B216" i="8"/>
  <c r="D215" i="8"/>
  <c r="D247" i="8" s="1"/>
  <c r="C215" i="8"/>
  <c r="C247" i="8" s="1"/>
  <c r="B215" i="8"/>
  <c r="B247" i="8" s="1"/>
  <c r="E247" i="8" s="1"/>
  <c r="F247" i="8" s="1"/>
  <c r="D214" i="8"/>
  <c r="D246" i="8" s="1"/>
  <c r="C214" i="8"/>
  <c r="B214" i="8"/>
  <c r="B246" i="8" s="1"/>
  <c r="D213" i="8"/>
  <c r="D245" i="8" s="1"/>
  <c r="C213" i="8"/>
  <c r="B213" i="8"/>
  <c r="B245" i="8" s="1"/>
  <c r="D212" i="8"/>
  <c r="D244" i="8" s="1"/>
  <c r="C212" i="8"/>
  <c r="B212" i="8"/>
  <c r="B244" i="8" s="1"/>
  <c r="D211" i="8"/>
  <c r="D243" i="8" s="1"/>
  <c r="C211" i="8"/>
  <c r="B211" i="8"/>
  <c r="B243" i="8" s="1"/>
  <c r="L210" i="8"/>
  <c r="D210" i="8"/>
  <c r="D242" i="8" s="1"/>
  <c r="C210" i="8"/>
  <c r="C242" i="8" s="1"/>
  <c r="B210" i="8"/>
  <c r="B242" i="8" s="1"/>
  <c r="H209" i="8"/>
  <c r="D209" i="8"/>
  <c r="D241" i="8" s="1"/>
  <c r="C209" i="8"/>
  <c r="E209" i="8" s="1"/>
  <c r="F209" i="8" s="1"/>
  <c r="B209" i="8"/>
  <c r="B241" i="8" s="1"/>
  <c r="D208" i="8"/>
  <c r="D240" i="8" s="1"/>
  <c r="C208" i="8"/>
  <c r="C240" i="8" s="1"/>
  <c r="B208" i="8"/>
  <c r="B240" i="8" s="1"/>
  <c r="H207" i="8"/>
  <c r="D207" i="8"/>
  <c r="D239" i="8" s="1"/>
  <c r="C207" i="8"/>
  <c r="C239" i="8" s="1"/>
  <c r="B207" i="8"/>
  <c r="B239" i="8" s="1"/>
  <c r="H206" i="8"/>
  <c r="D206" i="8"/>
  <c r="D238" i="8" s="1"/>
  <c r="C206" i="8"/>
  <c r="C238" i="8" s="1"/>
  <c r="B206" i="8"/>
  <c r="H205" i="8"/>
  <c r="D205" i="8"/>
  <c r="D237" i="8" s="1"/>
  <c r="C205" i="8"/>
  <c r="C237" i="8" s="1"/>
  <c r="B205" i="8"/>
  <c r="H204" i="8"/>
  <c r="D204" i="8"/>
  <c r="D236" i="8" s="1"/>
  <c r="C204" i="8"/>
  <c r="C236" i="8" s="1"/>
  <c r="B204" i="8"/>
  <c r="D203" i="8"/>
  <c r="D235" i="8" s="1"/>
  <c r="C203" i="8"/>
  <c r="C235" i="8" s="1"/>
  <c r="B203" i="8"/>
  <c r="B235" i="8" s="1"/>
  <c r="D202" i="8"/>
  <c r="C202" i="8"/>
  <c r="C234" i="8" s="1"/>
  <c r="B202" i="8"/>
  <c r="B234" i="8" s="1"/>
  <c r="B189" i="8"/>
  <c r="F188" i="8"/>
  <c r="D188" i="8"/>
  <c r="D189" i="8" s="1"/>
  <c r="C188" i="8"/>
  <c r="C189" i="8" s="1"/>
  <c r="B188" i="8"/>
  <c r="E187" i="8"/>
  <c r="F187" i="8" s="1"/>
  <c r="E186" i="8"/>
  <c r="F186" i="8" s="1"/>
  <c r="F185" i="8"/>
  <c r="E185" i="8"/>
  <c r="F184" i="8"/>
  <c r="E184" i="8"/>
  <c r="F183" i="8"/>
  <c r="E183" i="8"/>
  <c r="F182" i="8"/>
  <c r="E182" i="8"/>
  <c r="E181" i="8"/>
  <c r="F181" i="8" s="1"/>
  <c r="E180" i="8"/>
  <c r="F180" i="8" s="1"/>
  <c r="E179" i="8"/>
  <c r="F179" i="8" s="1"/>
  <c r="L178" i="8"/>
  <c r="F178" i="8"/>
  <c r="E178" i="8"/>
  <c r="H177" i="8"/>
  <c r="E177" i="8"/>
  <c r="F177" i="8" s="1"/>
  <c r="F176" i="8"/>
  <c r="P180" i="8" s="1"/>
  <c r="E176" i="8"/>
  <c r="H175" i="8"/>
  <c r="E175" i="8"/>
  <c r="F175" i="8" s="1"/>
  <c r="H174" i="8"/>
  <c r="H176" i="8" s="1"/>
  <c r="F174" i="8"/>
  <c r="P178" i="8" s="1"/>
  <c r="E174" i="8"/>
  <c r="H173" i="8"/>
  <c r="F173" i="8"/>
  <c r="P177" i="8" s="1"/>
  <c r="E173" i="8"/>
  <c r="H172" i="8"/>
  <c r="E172" i="8"/>
  <c r="F172" i="8" s="1"/>
  <c r="P176" i="8" s="1"/>
  <c r="E171" i="8"/>
  <c r="F171" i="8" s="1"/>
  <c r="E170" i="8"/>
  <c r="F156" i="8"/>
  <c r="D156" i="8"/>
  <c r="D157" i="8" s="1"/>
  <c r="C156" i="8"/>
  <c r="C157" i="8" s="1"/>
  <c r="B156" i="8"/>
  <c r="B157" i="8" s="1"/>
  <c r="F155" i="8"/>
  <c r="E155" i="8"/>
  <c r="E154" i="8"/>
  <c r="F154" i="8" s="1"/>
  <c r="F153" i="8"/>
  <c r="E153" i="8"/>
  <c r="E152" i="8"/>
  <c r="F152" i="8" s="1"/>
  <c r="F151" i="8"/>
  <c r="E151" i="8"/>
  <c r="E150" i="8"/>
  <c r="F150" i="8" s="1"/>
  <c r="F149" i="8"/>
  <c r="E149" i="8"/>
  <c r="E148" i="8"/>
  <c r="F148" i="8" s="1"/>
  <c r="E147" i="8"/>
  <c r="F147" i="8" s="1"/>
  <c r="L146" i="8"/>
  <c r="E146" i="8"/>
  <c r="F146" i="8" s="1"/>
  <c r="H145" i="8"/>
  <c r="E145" i="8"/>
  <c r="F145" i="8" s="1"/>
  <c r="P149" i="8" s="1"/>
  <c r="E144" i="8"/>
  <c r="F144" i="8" s="1"/>
  <c r="P148" i="8" s="1"/>
  <c r="H143" i="8"/>
  <c r="F143" i="8"/>
  <c r="E143" i="8"/>
  <c r="H142" i="8"/>
  <c r="E142" i="8"/>
  <c r="F142" i="8" s="1"/>
  <c r="P146" i="8" s="1"/>
  <c r="H141" i="8"/>
  <c r="E141" i="8"/>
  <c r="F141" i="8" s="1"/>
  <c r="H140" i="8"/>
  <c r="E140" i="8"/>
  <c r="F140" i="8" s="1"/>
  <c r="P144" i="8" s="1"/>
  <c r="E139" i="8"/>
  <c r="F139" i="8" s="1"/>
  <c r="P143" i="8" s="1"/>
  <c r="E138" i="8"/>
  <c r="F138" i="8" s="1"/>
  <c r="P142" i="8" s="1"/>
  <c r="D118" i="8"/>
  <c r="L113" i="8"/>
  <c r="H112" i="8"/>
  <c r="H110" i="8"/>
  <c r="H109" i="8"/>
  <c r="H111" i="8" s="1"/>
  <c r="L111" i="8" s="1"/>
  <c r="H108" i="8"/>
  <c r="H107" i="8"/>
  <c r="C107" i="8"/>
  <c r="B107" i="8"/>
  <c r="D106" i="8"/>
  <c r="D90" i="8"/>
  <c r="D122" i="8" s="1"/>
  <c r="C90" i="8"/>
  <c r="B90" i="8"/>
  <c r="B122" i="8" s="1"/>
  <c r="D89" i="8"/>
  <c r="D121" i="8" s="1"/>
  <c r="C89" i="8"/>
  <c r="C121" i="8" s="1"/>
  <c r="B89" i="8"/>
  <c r="D88" i="8"/>
  <c r="D120" i="8" s="1"/>
  <c r="C88" i="8"/>
  <c r="E88" i="8" s="1"/>
  <c r="F88" i="8" s="1"/>
  <c r="B88" i="8"/>
  <c r="B120" i="8" s="1"/>
  <c r="D87" i="8"/>
  <c r="D119" i="8" s="1"/>
  <c r="C87" i="8"/>
  <c r="C119" i="8" s="1"/>
  <c r="B87" i="8"/>
  <c r="B119" i="8" s="1"/>
  <c r="D86" i="8"/>
  <c r="C86" i="8"/>
  <c r="C118" i="8" s="1"/>
  <c r="B86" i="8"/>
  <c r="B118" i="8" s="1"/>
  <c r="E118" i="8" s="1"/>
  <c r="F118" i="8" s="1"/>
  <c r="D85" i="8"/>
  <c r="D117" i="8" s="1"/>
  <c r="C85" i="8"/>
  <c r="C117" i="8" s="1"/>
  <c r="B85" i="8"/>
  <c r="D84" i="8"/>
  <c r="D116" i="8" s="1"/>
  <c r="C84" i="8"/>
  <c r="C116" i="8" s="1"/>
  <c r="B84" i="8"/>
  <c r="D83" i="8"/>
  <c r="D115" i="8" s="1"/>
  <c r="C83" i="8"/>
  <c r="C115" i="8" s="1"/>
  <c r="B83" i="8"/>
  <c r="D82" i="8"/>
  <c r="D114" i="8" s="1"/>
  <c r="C82" i="8"/>
  <c r="C114" i="8" s="1"/>
  <c r="B82" i="8"/>
  <c r="L81" i="8"/>
  <c r="D81" i="8"/>
  <c r="D113" i="8" s="1"/>
  <c r="C81" i="8"/>
  <c r="C113" i="8" s="1"/>
  <c r="B81" i="8"/>
  <c r="E81" i="8" s="1"/>
  <c r="F81" i="8" s="1"/>
  <c r="H80" i="8"/>
  <c r="D80" i="8"/>
  <c r="D112" i="8" s="1"/>
  <c r="C80" i="8"/>
  <c r="C112" i="8" s="1"/>
  <c r="B80" i="8"/>
  <c r="H79" i="8"/>
  <c r="L79" i="8" s="1"/>
  <c r="D79" i="8"/>
  <c r="D111" i="8" s="1"/>
  <c r="C79" i="8"/>
  <c r="C111" i="8" s="1"/>
  <c r="B79" i="8"/>
  <c r="B111" i="8" s="1"/>
  <c r="H78" i="8"/>
  <c r="D78" i="8"/>
  <c r="D110" i="8" s="1"/>
  <c r="C78" i="8"/>
  <c r="C110" i="8" s="1"/>
  <c r="B78" i="8"/>
  <c r="B110" i="8" s="1"/>
  <c r="H77" i="8"/>
  <c r="D77" i="8"/>
  <c r="D109" i="8" s="1"/>
  <c r="C77" i="8"/>
  <c r="C109" i="8" s="1"/>
  <c r="B77" i="8"/>
  <c r="B109" i="8" s="1"/>
  <c r="H76" i="8"/>
  <c r="D76" i="8"/>
  <c r="D108" i="8" s="1"/>
  <c r="C76" i="8"/>
  <c r="C108" i="8" s="1"/>
  <c r="B76" i="8"/>
  <c r="H75" i="8"/>
  <c r="D75" i="8"/>
  <c r="D107" i="8" s="1"/>
  <c r="C75" i="8"/>
  <c r="B75" i="8"/>
  <c r="D74" i="8"/>
  <c r="C74" i="8"/>
  <c r="C106" i="8" s="1"/>
  <c r="B74" i="8"/>
  <c r="B106" i="8" s="1"/>
  <c r="D73" i="8"/>
  <c r="D105" i="8" s="1"/>
  <c r="C73" i="8"/>
  <c r="E73" i="8" s="1"/>
  <c r="F73" i="8" s="1"/>
  <c r="B73" i="8"/>
  <c r="B105" i="8" s="1"/>
  <c r="C60" i="8"/>
  <c r="F59" i="8"/>
  <c r="D59" i="8"/>
  <c r="D60" i="8" s="1"/>
  <c r="C59" i="8"/>
  <c r="B59" i="8"/>
  <c r="B60" i="8" s="1"/>
  <c r="E58" i="8"/>
  <c r="F58" i="8" s="1"/>
  <c r="E57" i="8"/>
  <c r="F57" i="8" s="1"/>
  <c r="E56" i="8"/>
  <c r="F56" i="8" s="1"/>
  <c r="F55" i="8"/>
  <c r="E55" i="8"/>
  <c r="E54" i="8"/>
  <c r="F54" i="8" s="1"/>
  <c r="F53" i="8"/>
  <c r="E53" i="8"/>
  <c r="E52" i="8"/>
  <c r="F52" i="8" s="1"/>
  <c r="E51" i="8"/>
  <c r="F51" i="8" s="1"/>
  <c r="E50" i="8"/>
  <c r="F50" i="8" s="1"/>
  <c r="P45" i="8" s="1"/>
  <c r="L49" i="8"/>
  <c r="F49" i="8"/>
  <c r="E49" i="8"/>
  <c r="H48" i="8"/>
  <c r="E48" i="8"/>
  <c r="F48" i="8" s="1"/>
  <c r="E47" i="8"/>
  <c r="F47" i="8" s="1"/>
  <c r="H46" i="8"/>
  <c r="E46" i="8"/>
  <c r="F46" i="8" s="1"/>
  <c r="H45" i="8"/>
  <c r="H47" i="8" s="1"/>
  <c r="L47" i="8" s="1"/>
  <c r="E45" i="8"/>
  <c r="F45" i="8" s="1"/>
  <c r="H44" i="8"/>
  <c r="F44" i="8"/>
  <c r="P48" i="8" s="1"/>
  <c r="E44" i="8"/>
  <c r="H43" i="8"/>
  <c r="E43" i="8"/>
  <c r="F43" i="8" s="1"/>
  <c r="E42" i="8"/>
  <c r="F42" i="8" s="1"/>
  <c r="E41" i="8"/>
  <c r="F41" i="8" s="1"/>
  <c r="D28" i="8"/>
  <c r="V27" i="8"/>
  <c r="U27" i="8"/>
  <c r="T27" i="8"/>
  <c r="F27" i="8"/>
  <c r="D27" i="8"/>
  <c r="C27" i="8"/>
  <c r="C28" i="8" s="1"/>
  <c r="B27" i="8"/>
  <c r="B28" i="8" s="1"/>
  <c r="V26" i="8"/>
  <c r="U26" i="8"/>
  <c r="T26" i="8"/>
  <c r="E26" i="8"/>
  <c r="F26" i="8" s="1"/>
  <c r="V25" i="8"/>
  <c r="U25" i="8"/>
  <c r="T25" i="8"/>
  <c r="E25" i="8"/>
  <c r="F25" i="8" s="1"/>
  <c r="P20" i="8" s="1"/>
  <c r="V24" i="8"/>
  <c r="U24" i="8"/>
  <c r="T24" i="8"/>
  <c r="F24" i="8"/>
  <c r="E24" i="8"/>
  <c r="V23" i="8"/>
  <c r="U23" i="8"/>
  <c r="T23" i="8"/>
  <c r="E23" i="8"/>
  <c r="F23" i="8" s="1"/>
  <c r="V22" i="8"/>
  <c r="U22" i="8"/>
  <c r="T22" i="8"/>
  <c r="E22" i="8"/>
  <c r="F22" i="8" s="1"/>
  <c r="V21" i="8"/>
  <c r="U21" i="8"/>
  <c r="T21" i="8"/>
  <c r="E21" i="8"/>
  <c r="F21" i="8" s="1"/>
  <c r="V20" i="8"/>
  <c r="U20" i="8"/>
  <c r="T20" i="8"/>
  <c r="E20" i="8"/>
  <c r="F20" i="8" s="1"/>
  <c r="Y19" i="8"/>
  <c r="V19" i="8"/>
  <c r="U19" i="8"/>
  <c r="T19" i="8"/>
  <c r="E19" i="8"/>
  <c r="F19" i="8" s="1"/>
  <c r="Y18" i="8"/>
  <c r="V18" i="8"/>
  <c r="U18" i="8"/>
  <c r="T18" i="8"/>
  <c r="E18" i="8"/>
  <c r="F18" i="8" s="1"/>
  <c r="Y17" i="8"/>
  <c r="V17" i="8"/>
  <c r="U17" i="8"/>
  <c r="T17" i="8"/>
  <c r="L17" i="8"/>
  <c r="F17" i="8"/>
  <c r="E17" i="8"/>
  <c r="Y16" i="8"/>
  <c r="V16" i="8"/>
  <c r="U16" i="8"/>
  <c r="T16" i="8"/>
  <c r="H16" i="8"/>
  <c r="L140" i="8" s="1"/>
  <c r="E16" i="8"/>
  <c r="F16" i="8" s="1"/>
  <c r="Y15" i="8"/>
  <c r="V15" i="8"/>
  <c r="U15" i="8"/>
  <c r="T15" i="8"/>
  <c r="H15" i="8"/>
  <c r="L15" i="8" s="1"/>
  <c r="E15" i="8"/>
  <c r="F15" i="8" s="1"/>
  <c r="V14" i="8"/>
  <c r="U14" i="8"/>
  <c r="T14" i="8"/>
  <c r="H14" i="8"/>
  <c r="L14" i="8" s="1"/>
  <c r="F14" i="8"/>
  <c r="E14" i="8"/>
  <c r="V13" i="8"/>
  <c r="U13" i="8"/>
  <c r="T13" i="8"/>
  <c r="H13" i="8"/>
  <c r="E13" i="8"/>
  <c r="F13" i="8" s="1"/>
  <c r="P17" i="8" s="1"/>
  <c r="V12" i="8"/>
  <c r="U12" i="8"/>
  <c r="T12" i="8"/>
  <c r="H12" i="8"/>
  <c r="E12" i="8"/>
  <c r="F12" i="8" s="1"/>
  <c r="V11" i="8"/>
  <c r="U11" i="8"/>
  <c r="T11" i="8"/>
  <c r="H11" i="8"/>
  <c r="F11" i="8"/>
  <c r="E11" i="8"/>
  <c r="V10" i="8"/>
  <c r="U10" i="8"/>
  <c r="T10" i="8"/>
  <c r="E10" i="8"/>
  <c r="F10" i="8" s="1"/>
  <c r="E9" i="8"/>
  <c r="F9" i="8" s="1"/>
  <c r="E119" i="8" l="1"/>
  <c r="F119" i="8" s="1"/>
  <c r="P147" i="8"/>
  <c r="E206" i="8"/>
  <c r="F206" i="8" s="1"/>
  <c r="E239" i="8"/>
  <c r="F239" i="8" s="1"/>
  <c r="E242" i="8"/>
  <c r="F242" i="8" s="1"/>
  <c r="P46" i="8"/>
  <c r="E110" i="8"/>
  <c r="F110" i="8" s="1"/>
  <c r="P114" i="8" s="1"/>
  <c r="P16" i="8"/>
  <c r="L143" i="8"/>
  <c r="P139" i="8"/>
  <c r="P175" i="8"/>
  <c r="L176" i="8"/>
  <c r="P182" i="8"/>
  <c r="D123" i="8"/>
  <c r="D124" i="8" s="1"/>
  <c r="E75" i="8"/>
  <c r="F75" i="8" s="1"/>
  <c r="P85" i="8"/>
  <c r="E107" i="8"/>
  <c r="F107" i="8" s="1"/>
  <c r="P50" i="8"/>
  <c r="H81" i="8"/>
  <c r="H144" i="8"/>
  <c r="P179" i="8"/>
  <c r="E203" i="8"/>
  <c r="F203" i="8" s="1"/>
  <c r="H240" i="8"/>
  <c r="AB11" i="8"/>
  <c r="H17" i="8"/>
  <c r="L43" i="8"/>
  <c r="L75" i="8"/>
  <c r="E77" i="8"/>
  <c r="F77" i="8" s="1"/>
  <c r="E90" i="8"/>
  <c r="F90" i="8" s="1"/>
  <c r="P181" i="8"/>
  <c r="L13" i="8"/>
  <c r="L46" i="8"/>
  <c r="E106" i="8"/>
  <c r="F106" i="8" s="1"/>
  <c r="E76" i="8"/>
  <c r="F76" i="8" s="1"/>
  <c r="E109" i="8"/>
  <c r="F109" i="8" s="1"/>
  <c r="P113" i="8" s="1"/>
  <c r="L77" i="8"/>
  <c r="E79" i="8"/>
  <c r="F79" i="8" s="1"/>
  <c r="P83" i="8" s="1"/>
  <c r="L107" i="8"/>
  <c r="P145" i="8"/>
  <c r="Q142" i="8" s="1"/>
  <c r="P150" i="8"/>
  <c r="Q144" i="8" s="1"/>
  <c r="E235" i="8"/>
  <c r="F235" i="8" s="1"/>
  <c r="E204" i="8"/>
  <c r="F204" i="8" s="1"/>
  <c r="E205" i="8"/>
  <c r="F205" i="8" s="1"/>
  <c r="H208" i="8"/>
  <c r="E207" i="8"/>
  <c r="F207" i="8" s="1"/>
  <c r="E210" i="8"/>
  <c r="F210" i="8" s="1"/>
  <c r="Q146" i="8"/>
  <c r="P51" i="8"/>
  <c r="E111" i="8"/>
  <c r="F111" i="8" s="1"/>
  <c r="Q147" i="8"/>
  <c r="P42" i="8"/>
  <c r="Q148" i="8"/>
  <c r="P10" i="8"/>
  <c r="P13" i="8"/>
  <c r="P53" i="8"/>
  <c r="E216" i="8"/>
  <c r="F216" i="8" s="1"/>
  <c r="B248" i="8"/>
  <c r="E248" i="8" s="1"/>
  <c r="F248" i="8" s="1"/>
  <c r="P243" i="8" s="1"/>
  <c r="E218" i="8"/>
  <c r="F218" i="8" s="1"/>
  <c r="C250" i="8"/>
  <c r="P21" i="8"/>
  <c r="E27" i="8"/>
  <c r="B29" i="8" s="1"/>
  <c r="P41" i="8"/>
  <c r="L45" i="8"/>
  <c r="P47" i="8"/>
  <c r="L76" i="8"/>
  <c r="E78" i="8"/>
  <c r="F78" i="8" s="1"/>
  <c r="D91" i="8"/>
  <c r="D92" i="8" s="1"/>
  <c r="B108" i="8"/>
  <c r="E108" i="8" s="1"/>
  <c r="F108" i="8" s="1"/>
  <c r="H113" i="8"/>
  <c r="L109" i="8"/>
  <c r="P14" i="8"/>
  <c r="L11" i="8"/>
  <c r="P49" i="8"/>
  <c r="P52" i="8"/>
  <c r="Q52" i="8" s="1"/>
  <c r="C91" i="8"/>
  <c r="C92" i="8" s="1"/>
  <c r="E74" i="8"/>
  <c r="F74" i="8" s="1"/>
  <c r="P77" i="8"/>
  <c r="E80" i="8"/>
  <c r="F80" i="8" s="1"/>
  <c r="E82" i="8"/>
  <c r="F82" i="8" s="1"/>
  <c r="E84" i="8"/>
  <c r="F84" i="8" s="1"/>
  <c r="P79" i="8" s="1"/>
  <c r="E87" i="8"/>
  <c r="F87" i="8" s="1"/>
  <c r="B91" i="8"/>
  <c r="B92" i="8" s="1"/>
  <c r="L108" i="8"/>
  <c r="L110" i="8"/>
  <c r="B112" i="8"/>
  <c r="E112" i="8" s="1"/>
  <c r="F112" i="8" s="1"/>
  <c r="B113" i="8"/>
  <c r="E113" i="8" s="1"/>
  <c r="F113" i="8" s="1"/>
  <c r="C120" i="8"/>
  <c r="E120" i="8" s="1"/>
  <c r="F120" i="8" s="1"/>
  <c r="C122" i="8"/>
  <c r="E122" i="8" s="1"/>
  <c r="F122" i="8" s="1"/>
  <c r="L144" i="8"/>
  <c r="L172" i="8"/>
  <c r="L204" i="8"/>
  <c r="L208" i="8"/>
  <c r="P213" i="8"/>
  <c r="E249" i="8"/>
  <c r="F249" i="8" s="1"/>
  <c r="B236" i="8"/>
  <c r="E236" i="8" s="1"/>
  <c r="F236" i="8" s="1"/>
  <c r="B237" i="8"/>
  <c r="E237" i="8" s="1"/>
  <c r="F237" i="8" s="1"/>
  <c r="B238" i="8"/>
  <c r="E238" i="8" s="1"/>
  <c r="F238" i="8" s="1"/>
  <c r="P242" i="8" s="1"/>
  <c r="C241" i="8"/>
  <c r="P15" i="8"/>
  <c r="H49" i="8"/>
  <c r="L78" i="8"/>
  <c r="E86" i="8"/>
  <c r="F86" i="8" s="1"/>
  <c r="P81" i="8" s="1"/>
  <c r="E89" i="8"/>
  <c r="F89" i="8" s="1"/>
  <c r="F91" i="8"/>
  <c r="B114" i="8"/>
  <c r="E114" i="8" s="1"/>
  <c r="F114" i="8" s="1"/>
  <c r="B116" i="8"/>
  <c r="E116" i="8" s="1"/>
  <c r="F116" i="8" s="1"/>
  <c r="P111" i="8" s="1"/>
  <c r="B121" i="8"/>
  <c r="E121" i="8" s="1"/>
  <c r="F121" i="8" s="1"/>
  <c r="P138" i="8"/>
  <c r="Q138" i="8" s="1"/>
  <c r="L174" i="8"/>
  <c r="P171" i="8"/>
  <c r="H210" i="8"/>
  <c r="E241" i="8"/>
  <c r="F241" i="8" s="1"/>
  <c r="E250" i="8"/>
  <c r="F250" i="8" s="1"/>
  <c r="E211" i="8"/>
  <c r="F211" i="8" s="1"/>
  <c r="C243" i="8"/>
  <c r="E212" i="8"/>
  <c r="F212" i="8" s="1"/>
  <c r="P207" i="8" s="1"/>
  <c r="C244" i="8"/>
  <c r="E244" i="8" s="1"/>
  <c r="F244" i="8" s="1"/>
  <c r="P239" i="8" s="1"/>
  <c r="E213" i="8"/>
  <c r="F213" i="8" s="1"/>
  <c r="P208" i="8" s="1"/>
  <c r="C245" i="8"/>
  <c r="E214" i="8"/>
  <c r="F214" i="8" s="1"/>
  <c r="C246" i="8"/>
  <c r="E246" i="8" s="1"/>
  <c r="F246" i="8" s="1"/>
  <c r="E219" i="8"/>
  <c r="F219" i="8" s="1"/>
  <c r="P214" i="8" s="1"/>
  <c r="B251" i="8"/>
  <c r="E251" i="8" s="1"/>
  <c r="F251" i="8" s="1"/>
  <c r="P246" i="8" s="1"/>
  <c r="L44" i="8"/>
  <c r="I46" i="8"/>
  <c r="J46" i="8" s="1"/>
  <c r="E59" i="8"/>
  <c r="B61" i="8" s="1"/>
  <c r="E83" i="8"/>
  <c r="F83" i="8" s="1"/>
  <c r="E85" i="8"/>
  <c r="F85" i="8" s="1"/>
  <c r="P80" i="8" s="1"/>
  <c r="C105" i="8"/>
  <c r="Q143" i="8"/>
  <c r="H146" i="8"/>
  <c r="Q149" i="8"/>
  <c r="Q150" i="8"/>
  <c r="D220" i="8"/>
  <c r="D221" i="8" s="1"/>
  <c r="L205" i="8"/>
  <c r="P211" i="8"/>
  <c r="E240" i="8"/>
  <c r="F240" i="8" s="1"/>
  <c r="P244" i="8" s="1"/>
  <c r="L236" i="8"/>
  <c r="L237" i="8"/>
  <c r="L240" i="8"/>
  <c r="H242" i="8"/>
  <c r="E188" i="8"/>
  <c r="B190" i="8" s="1"/>
  <c r="I175" i="8" s="1"/>
  <c r="J175" i="8" s="1"/>
  <c r="F170" i="8"/>
  <c r="P18" i="8"/>
  <c r="P9" i="8"/>
  <c r="L12" i="8"/>
  <c r="Q17" i="8"/>
  <c r="P19" i="8"/>
  <c r="Q19" i="8" s="1"/>
  <c r="I14" i="8"/>
  <c r="J14" i="8" s="1"/>
  <c r="B115" i="8"/>
  <c r="E115" i="8" s="1"/>
  <c r="F115" i="8" s="1"/>
  <c r="P110" i="8" s="1"/>
  <c r="B117" i="8"/>
  <c r="E117" i="8" s="1"/>
  <c r="F117" i="8" s="1"/>
  <c r="E156" i="8"/>
  <c r="B158" i="8" s="1"/>
  <c r="L141" i="8"/>
  <c r="L173" i="8"/>
  <c r="L175" i="8"/>
  <c r="C252" i="8"/>
  <c r="C253" i="8" s="1"/>
  <c r="P209" i="8"/>
  <c r="E243" i="8"/>
  <c r="F243" i="8" s="1"/>
  <c r="E245" i="8"/>
  <c r="F245" i="8" s="1"/>
  <c r="D234" i="8"/>
  <c r="D252" i="8" s="1"/>
  <c r="D253" i="8" s="1"/>
  <c r="H178" i="8"/>
  <c r="E202" i="8"/>
  <c r="L206" i="8"/>
  <c r="E208" i="8"/>
  <c r="F208" i="8" s="1"/>
  <c r="E215" i="8"/>
  <c r="F215" i="8" s="1"/>
  <c r="P210" i="8" s="1"/>
  <c r="E217" i="8"/>
  <c r="F217" i="8" s="1"/>
  <c r="B220" i="8"/>
  <c r="B221" i="8" s="1"/>
  <c r="F220" i="8"/>
  <c r="L238" i="8"/>
  <c r="L142" i="8"/>
  <c r="L207" i="8"/>
  <c r="C220" i="8"/>
  <c r="C221" i="8" s="1"/>
  <c r="L239" i="8"/>
  <c r="Q46" i="8" l="1"/>
  <c r="Q145" i="8"/>
  <c r="P82" i="8"/>
  <c r="Q20" i="8"/>
  <c r="Q9" i="8"/>
  <c r="B191" i="8"/>
  <c r="D191" i="8"/>
  <c r="I172" i="8" s="1"/>
  <c r="J172" i="8" s="1"/>
  <c r="I174" i="8"/>
  <c r="J174" i="8" s="1"/>
  <c r="B192" i="8"/>
  <c r="I173" i="8" s="1"/>
  <c r="B160" i="8"/>
  <c r="I141" i="8" s="1"/>
  <c r="I142" i="8"/>
  <c r="J142" i="8" s="1"/>
  <c r="D159" i="8"/>
  <c r="I140" i="8" s="1"/>
  <c r="J140" i="8" s="1"/>
  <c r="B159" i="8"/>
  <c r="Q41" i="8"/>
  <c r="Q18" i="8"/>
  <c r="P245" i="8"/>
  <c r="Q15" i="8"/>
  <c r="P240" i="8"/>
  <c r="I143" i="8"/>
  <c r="J143" i="8" s="1"/>
  <c r="P117" i="8"/>
  <c r="P84" i="8"/>
  <c r="P112" i="8"/>
  <c r="B252" i="8"/>
  <c r="B253" i="8" s="1"/>
  <c r="Q16" i="8"/>
  <c r="F202" i="8"/>
  <c r="E220" i="8"/>
  <c r="B222" i="8" s="1"/>
  <c r="P241" i="8"/>
  <c r="P74" i="8"/>
  <c r="P78" i="8"/>
  <c r="Q78" i="8" s="1"/>
  <c r="Q49" i="8"/>
  <c r="E234" i="8"/>
  <c r="Q50" i="8"/>
  <c r="P115" i="8"/>
  <c r="Q51" i="8"/>
  <c r="E91" i="8"/>
  <c r="B93" i="8" s="1"/>
  <c r="P203" i="8"/>
  <c r="B123" i="8"/>
  <c r="B124" i="8" s="1"/>
  <c r="Q77" i="8"/>
  <c r="Q82" i="8"/>
  <c r="Q21" i="8"/>
  <c r="Q53" i="8"/>
  <c r="P73" i="8"/>
  <c r="Q73" i="8" s="1"/>
  <c r="Q10" i="8"/>
  <c r="Q42" i="8"/>
  <c r="Q85" i="8"/>
  <c r="P174" i="8"/>
  <c r="P170" i="8"/>
  <c r="Q170" i="8" s="1"/>
  <c r="C123" i="8"/>
  <c r="C124" i="8" s="1"/>
  <c r="E105" i="8"/>
  <c r="B62" i="8"/>
  <c r="I45" i="8"/>
  <c r="J45" i="8" s="1"/>
  <c r="B63" i="8"/>
  <c r="I44" i="8" s="1"/>
  <c r="D62" i="8"/>
  <c r="I43" i="8" s="1"/>
  <c r="J43" i="8" s="1"/>
  <c r="B31" i="8"/>
  <c r="I12" i="8" s="1"/>
  <c r="I13" i="8"/>
  <c r="J13" i="8" s="1"/>
  <c r="B30" i="8"/>
  <c r="D30" i="8"/>
  <c r="I11" i="8" s="1"/>
  <c r="J11" i="8" s="1"/>
  <c r="P212" i="8"/>
  <c r="P235" i="8"/>
  <c r="P106" i="8"/>
  <c r="P116" i="8"/>
  <c r="I78" i="8"/>
  <c r="J78" i="8" s="1"/>
  <c r="Q14" i="8"/>
  <c r="Q47" i="8"/>
  <c r="F252" i="8"/>
  <c r="Q13" i="8"/>
  <c r="Q83" i="8"/>
  <c r="F123" i="8"/>
  <c r="Q48" i="8"/>
  <c r="Q45" i="8"/>
  <c r="Q139" i="8"/>
  <c r="Q171" i="8" l="1"/>
  <c r="F105" i="8"/>
  <c r="E123" i="8"/>
  <c r="B125" i="8" s="1"/>
  <c r="I110" i="8" s="1"/>
  <c r="J110" i="8" s="1"/>
  <c r="B223" i="8"/>
  <c r="I206" i="8"/>
  <c r="J206" i="8" s="1"/>
  <c r="D223" i="8"/>
  <c r="I204" i="8" s="1"/>
  <c r="J204" i="8" s="1"/>
  <c r="B224" i="8"/>
  <c r="I205" i="8" s="1"/>
  <c r="D160" i="8"/>
  <c r="I145" i="8" s="1"/>
  <c r="J145" i="8" s="1"/>
  <c r="I146" i="8"/>
  <c r="I176" i="8"/>
  <c r="J176" i="8" s="1"/>
  <c r="J173" i="8"/>
  <c r="Q80" i="8"/>
  <c r="I15" i="8"/>
  <c r="J15" i="8" s="1"/>
  <c r="J12" i="8"/>
  <c r="I49" i="8"/>
  <c r="D63" i="8"/>
  <c r="I48" i="8" s="1"/>
  <c r="J48" i="8" s="1"/>
  <c r="Q174" i="8"/>
  <c r="Q179" i="8"/>
  <c r="Q177" i="8"/>
  <c r="Q182" i="8"/>
  <c r="Q175" i="8"/>
  <c r="Q181" i="8"/>
  <c r="Q176" i="8"/>
  <c r="Q178" i="8"/>
  <c r="Q180" i="8"/>
  <c r="B94" i="8"/>
  <c r="I77" i="8"/>
  <c r="J77" i="8" s="1"/>
  <c r="D94" i="8"/>
  <c r="I75" i="8" s="1"/>
  <c r="J75" i="8" s="1"/>
  <c r="B95" i="8"/>
  <c r="I76" i="8" s="1"/>
  <c r="F234" i="8"/>
  <c r="E252" i="8"/>
  <c r="B254" i="8" s="1"/>
  <c r="I239" i="8" s="1"/>
  <c r="J239" i="8" s="1"/>
  <c r="K239" i="8" s="1"/>
  <c r="M239" i="8" s="1"/>
  <c r="I144" i="8"/>
  <c r="J144" i="8" s="1"/>
  <c r="J141" i="8"/>
  <c r="I178" i="8"/>
  <c r="D192" i="8"/>
  <c r="I177" i="8" s="1"/>
  <c r="J177" i="8" s="1"/>
  <c r="Q79" i="8"/>
  <c r="P206" i="8"/>
  <c r="P202" i="8"/>
  <c r="Q202" i="8" s="1"/>
  <c r="K13" i="8"/>
  <c r="M13" i="8" s="1"/>
  <c r="Q74" i="8"/>
  <c r="Q84" i="8"/>
  <c r="K142" i="8"/>
  <c r="M142" i="8" s="1"/>
  <c r="Q81" i="8"/>
  <c r="D31" i="8"/>
  <c r="I16" i="8" s="1"/>
  <c r="J16" i="8" s="1"/>
  <c r="K143" i="8" s="1"/>
  <c r="M143" i="8" s="1"/>
  <c r="I17" i="8"/>
  <c r="I47" i="8"/>
  <c r="J47" i="8" s="1"/>
  <c r="J44" i="8"/>
  <c r="K44" i="8" s="1"/>
  <c r="M44" i="8" s="1"/>
  <c r="K78" i="8"/>
  <c r="M78" i="8" s="1"/>
  <c r="Q203" i="8"/>
  <c r="I207" i="8"/>
  <c r="J207" i="8" s="1"/>
  <c r="K207" i="8" s="1"/>
  <c r="M207" i="8" s="1"/>
  <c r="K140" i="8"/>
  <c r="M140" i="8" s="1"/>
  <c r="K174" i="8"/>
  <c r="M174" i="8" s="1"/>
  <c r="K47" i="8" l="1"/>
  <c r="M47" i="8" s="1"/>
  <c r="K172" i="8"/>
  <c r="M172" i="8" s="1"/>
  <c r="K45" i="8"/>
  <c r="M45" i="8" s="1"/>
  <c r="Q206" i="8"/>
  <c r="Q214" i="8"/>
  <c r="Q210" i="8"/>
  <c r="Q213" i="8"/>
  <c r="Q209" i="8"/>
  <c r="Q208" i="8"/>
  <c r="Q207" i="8"/>
  <c r="Q211" i="8"/>
  <c r="P238" i="8"/>
  <c r="P234" i="8"/>
  <c r="D95" i="8"/>
  <c r="I80" i="8" s="1"/>
  <c r="J80" i="8" s="1"/>
  <c r="I81" i="8"/>
  <c r="P109" i="8"/>
  <c r="P105" i="8"/>
  <c r="K141" i="8"/>
  <c r="M141" i="8" s="1"/>
  <c r="K12" i="8"/>
  <c r="M12" i="8" s="1"/>
  <c r="K43" i="8"/>
  <c r="M43" i="8" s="1"/>
  <c r="K206" i="8"/>
  <c r="M206" i="8" s="1"/>
  <c r="B126" i="8"/>
  <c r="I109" i="8"/>
  <c r="J109" i="8" s="1"/>
  <c r="K109" i="8" s="1"/>
  <c r="M109" i="8" s="1"/>
  <c r="D126" i="8"/>
  <c r="I107" i="8" s="1"/>
  <c r="J107" i="8" s="1"/>
  <c r="K107" i="8" s="1"/>
  <c r="M107" i="8" s="1"/>
  <c r="B127" i="8"/>
  <c r="I108" i="8" s="1"/>
  <c r="K77" i="8"/>
  <c r="M77" i="8" s="1"/>
  <c r="K176" i="8"/>
  <c r="M176" i="8" s="1"/>
  <c r="K204" i="8"/>
  <c r="M204" i="8" s="1"/>
  <c r="P183" i="8"/>
  <c r="H181" i="8"/>
  <c r="H180" i="8"/>
  <c r="P173" i="8"/>
  <c r="P184" i="8"/>
  <c r="P172" i="8"/>
  <c r="H179" i="8"/>
  <c r="B255" i="8"/>
  <c r="I238" i="8"/>
  <c r="J238" i="8" s="1"/>
  <c r="K238" i="8" s="1"/>
  <c r="M238" i="8" s="1"/>
  <c r="D255" i="8"/>
  <c r="I236" i="8" s="1"/>
  <c r="J236" i="8" s="1"/>
  <c r="K236" i="8" s="1"/>
  <c r="M236" i="8" s="1"/>
  <c r="B256" i="8"/>
  <c r="I237" i="8" s="1"/>
  <c r="P55" i="8"/>
  <c r="P54" i="8"/>
  <c r="H51" i="8"/>
  <c r="P44" i="8"/>
  <c r="H52" i="8"/>
  <c r="H50" i="8"/>
  <c r="P43" i="8"/>
  <c r="J205" i="8"/>
  <c r="K205" i="8" s="1"/>
  <c r="M205" i="8" s="1"/>
  <c r="I208" i="8"/>
  <c r="J208" i="8" s="1"/>
  <c r="K208" i="8" s="1"/>
  <c r="M208" i="8" s="1"/>
  <c r="K75" i="8"/>
  <c r="M75" i="8" s="1"/>
  <c r="K173" i="8"/>
  <c r="M173" i="8" s="1"/>
  <c r="K110" i="8"/>
  <c r="M110" i="8" s="1"/>
  <c r="P23" i="8"/>
  <c r="H19" i="8"/>
  <c r="P11" i="8"/>
  <c r="H20" i="8"/>
  <c r="P22" i="8"/>
  <c r="P12" i="8"/>
  <c r="H18" i="8"/>
  <c r="K46" i="8"/>
  <c r="M46" i="8" s="1"/>
  <c r="K175" i="8"/>
  <c r="M175" i="8" s="1"/>
  <c r="K14" i="8"/>
  <c r="M14" i="8" s="1"/>
  <c r="I79" i="8"/>
  <c r="J79" i="8" s="1"/>
  <c r="K79" i="8" s="1"/>
  <c r="M79" i="8" s="1"/>
  <c r="J76" i="8"/>
  <c r="K76" i="8" s="1"/>
  <c r="M76" i="8" s="1"/>
  <c r="H147" i="8"/>
  <c r="P140" i="8"/>
  <c r="H148" i="8"/>
  <c r="P141" i="8"/>
  <c r="P151" i="8"/>
  <c r="P152" i="8"/>
  <c r="H149" i="8"/>
  <c r="I210" i="8"/>
  <c r="D224" i="8"/>
  <c r="I209" i="8" s="1"/>
  <c r="J209" i="8" s="1"/>
  <c r="Q212" i="8"/>
  <c r="K144" i="8"/>
  <c r="M144" i="8" s="1"/>
  <c r="K15" i="8"/>
  <c r="M15" i="8" s="1"/>
  <c r="K11" i="8"/>
  <c r="M11" i="8" s="1"/>
  <c r="P215" i="8" l="1"/>
  <c r="P205" i="8"/>
  <c r="P204" i="8"/>
  <c r="P216" i="8"/>
  <c r="H213" i="8"/>
  <c r="H212" i="8"/>
  <c r="H211" i="8"/>
  <c r="I242" i="8"/>
  <c r="D256" i="8"/>
  <c r="I241" i="8" s="1"/>
  <c r="J241" i="8" s="1"/>
  <c r="Q109" i="8"/>
  <c r="Q114" i="8"/>
  <c r="Q110" i="8"/>
  <c r="Q113" i="8"/>
  <c r="Q111" i="8"/>
  <c r="Q116" i="8"/>
  <c r="Q115" i="8"/>
  <c r="Q117" i="8"/>
  <c r="Q112" i="8"/>
  <c r="Q238" i="8"/>
  <c r="Q244" i="8"/>
  <c r="Q243" i="8"/>
  <c r="Q242" i="8"/>
  <c r="Q239" i="8"/>
  <c r="Q246" i="8"/>
  <c r="Q245" i="8"/>
  <c r="Q240" i="8"/>
  <c r="Q241" i="8"/>
  <c r="J108" i="8"/>
  <c r="K108" i="8" s="1"/>
  <c r="M108" i="8" s="1"/>
  <c r="I111" i="8"/>
  <c r="J111" i="8" s="1"/>
  <c r="K111" i="8" s="1"/>
  <c r="M111" i="8" s="1"/>
  <c r="Q105" i="8"/>
  <c r="Q106" i="8"/>
  <c r="Q234" i="8"/>
  <c r="Q235" i="8"/>
  <c r="D127" i="8"/>
  <c r="I112" i="8" s="1"/>
  <c r="J112" i="8" s="1"/>
  <c r="I113" i="8"/>
  <c r="P87" i="8"/>
  <c r="H83" i="8"/>
  <c r="P76" i="8"/>
  <c r="P86" i="8"/>
  <c r="H84" i="8"/>
  <c r="H82" i="8"/>
  <c r="P75" i="8"/>
  <c r="J237" i="8"/>
  <c r="K237" i="8" s="1"/>
  <c r="M237" i="8" s="1"/>
  <c r="I240" i="8"/>
  <c r="J240" i="8" s="1"/>
  <c r="K240" i="8" s="1"/>
  <c r="M240" i="8" s="1"/>
  <c r="P247" i="8" l="1"/>
  <c r="P237" i="8"/>
  <c r="P236" i="8"/>
  <c r="H245" i="8"/>
  <c r="H244" i="8"/>
  <c r="H243" i="8"/>
  <c r="P248" i="8"/>
  <c r="H115" i="8"/>
  <c r="P118" i="8"/>
  <c r="P119" i="8"/>
  <c r="H116" i="8"/>
  <c r="H114" i="8"/>
  <c r="P107" i="8"/>
  <c r="P108" i="8"/>
  <c r="I287" i="7" l="1"/>
  <c r="J287" i="7"/>
  <c r="K287" i="7"/>
  <c r="I288" i="7"/>
  <c r="J288" i="7"/>
  <c r="K288" i="7"/>
  <c r="I289" i="7"/>
  <c r="J289" i="7"/>
  <c r="K289" i="7"/>
  <c r="I290" i="7"/>
  <c r="J290" i="7"/>
  <c r="K290" i="7"/>
  <c r="I291" i="7"/>
  <c r="J291" i="7"/>
  <c r="K291" i="7"/>
  <c r="I292" i="7"/>
  <c r="J292" i="7"/>
  <c r="K292" i="7"/>
  <c r="I293" i="7"/>
  <c r="J293" i="7"/>
  <c r="K293" i="7"/>
  <c r="I294" i="7"/>
  <c r="J294" i="7"/>
  <c r="K294" i="7"/>
  <c r="J286" i="7"/>
  <c r="K286" i="7"/>
  <c r="I286" i="7"/>
  <c r="I296" i="7"/>
  <c r="J296" i="7"/>
  <c r="K296" i="7"/>
  <c r="I297" i="7"/>
  <c r="J297" i="7"/>
  <c r="K297" i="7"/>
  <c r="I298" i="7"/>
  <c r="J298" i="7"/>
  <c r="K298" i="7"/>
  <c r="I299" i="7"/>
  <c r="J299" i="7"/>
  <c r="K299" i="7"/>
  <c r="I300" i="7"/>
  <c r="J300" i="7"/>
  <c r="K300" i="7"/>
  <c r="I301" i="7"/>
  <c r="J301" i="7"/>
  <c r="K301" i="7"/>
  <c r="I302" i="7"/>
  <c r="J302" i="7"/>
  <c r="K302" i="7"/>
  <c r="I303" i="7"/>
  <c r="J303" i="7"/>
  <c r="K303" i="7"/>
  <c r="J295" i="7"/>
  <c r="K295" i="7"/>
  <c r="I295" i="7"/>
  <c r="I247" i="7"/>
  <c r="J247" i="7"/>
  <c r="K247" i="7"/>
  <c r="I248" i="7"/>
  <c r="J248" i="7"/>
  <c r="K248" i="7"/>
  <c r="I249" i="7"/>
  <c r="J249" i="7"/>
  <c r="K249" i="7"/>
  <c r="I250" i="7"/>
  <c r="J250" i="7"/>
  <c r="K250" i="7"/>
  <c r="I251" i="7"/>
  <c r="J251" i="7"/>
  <c r="K251" i="7"/>
  <c r="I252" i="7"/>
  <c r="J252" i="7"/>
  <c r="K252" i="7"/>
  <c r="I253" i="7"/>
  <c r="J253" i="7"/>
  <c r="K253" i="7"/>
  <c r="I254" i="7"/>
  <c r="J254" i="7"/>
  <c r="K254" i="7"/>
  <c r="I255" i="7"/>
  <c r="J255" i="7"/>
  <c r="K255" i="7"/>
  <c r="I256" i="7"/>
  <c r="J256" i="7"/>
  <c r="K256" i="7"/>
  <c r="I257" i="7"/>
  <c r="J257" i="7"/>
  <c r="K257" i="7"/>
  <c r="I258" i="7"/>
  <c r="J258" i="7"/>
  <c r="K258" i="7"/>
  <c r="I259" i="7"/>
  <c r="J259" i="7"/>
  <c r="K259" i="7"/>
  <c r="I260" i="7"/>
  <c r="J260" i="7"/>
  <c r="K260" i="7"/>
  <c r="I261" i="7"/>
  <c r="J261" i="7"/>
  <c r="K261" i="7"/>
  <c r="I262" i="7"/>
  <c r="J262" i="7"/>
  <c r="K262" i="7"/>
  <c r="I263" i="7"/>
  <c r="J263" i="7"/>
  <c r="K263" i="7"/>
  <c r="J246" i="7"/>
  <c r="K246" i="7"/>
  <c r="I246" i="7"/>
  <c r="I217" i="7"/>
  <c r="J217" i="7"/>
  <c r="K217" i="7"/>
  <c r="I218" i="7"/>
  <c r="J218" i="7"/>
  <c r="K218" i="7"/>
  <c r="I219" i="7"/>
  <c r="J219" i="7"/>
  <c r="K219" i="7"/>
  <c r="I220" i="7"/>
  <c r="J220" i="7"/>
  <c r="K220" i="7"/>
  <c r="I221" i="7"/>
  <c r="J221" i="7"/>
  <c r="K221" i="7"/>
  <c r="I222" i="7"/>
  <c r="J222" i="7"/>
  <c r="K222" i="7"/>
  <c r="I223" i="7"/>
  <c r="J223" i="7"/>
  <c r="K223" i="7"/>
  <c r="I224" i="7"/>
  <c r="J224" i="7"/>
  <c r="K224" i="7"/>
  <c r="J216" i="7"/>
  <c r="K216" i="7"/>
  <c r="I216" i="7"/>
  <c r="I226" i="7"/>
  <c r="J226" i="7"/>
  <c r="K226" i="7"/>
  <c r="I227" i="7"/>
  <c r="J227" i="7"/>
  <c r="K227" i="7"/>
  <c r="I228" i="7"/>
  <c r="J228" i="7"/>
  <c r="K228" i="7"/>
  <c r="I229" i="7"/>
  <c r="J229" i="7"/>
  <c r="K229" i="7"/>
  <c r="I230" i="7"/>
  <c r="J230" i="7"/>
  <c r="K230" i="7"/>
  <c r="I231" i="7"/>
  <c r="J231" i="7"/>
  <c r="K231" i="7"/>
  <c r="I232" i="7"/>
  <c r="J232" i="7"/>
  <c r="K232" i="7"/>
  <c r="I233" i="7"/>
  <c r="J233" i="7"/>
  <c r="K233" i="7"/>
  <c r="J225" i="7"/>
  <c r="K225" i="7"/>
  <c r="I225" i="7"/>
  <c r="I128" i="7" l="1"/>
  <c r="J128" i="7"/>
  <c r="K128" i="7"/>
  <c r="I129" i="7"/>
  <c r="J129" i="7"/>
  <c r="K129" i="7"/>
  <c r="I130" i="7"/>
  <c r="J130" i="7"/>
  <c r="K130" i="7"/>
  <c r="I131" i="7"/>
  <c r="J131" i="7"/>
  <c r="K131" i="7"/>
  <c r="I132" i="7"/>
  <c r="J132" i="7"/>
  <c r="K132" i="7"/>
  <c r="I133" i="7"/>
  <c r="J133" i="7"/>
  <c r="K133" i="7"/>
  <c r="I134" i="7"/>
  <c r="J134" i="7"/>
  <c r="K134" i="7"/>
  <c r="I135" i="7"/>
  <c r="J135" i="7"/>
  <c r="K135" i="7"/>
  <c r="J127" i="7"/>
  <c r="K127" i="7"/>
  <c r="I127" i="7"/>
  <c r="I119" i="7"/>
  <c r="J119" i="7"/>
  <c r="K119" i="7"/>
  <c r="I120" i="7"/>
  <c r="J120" i="7"/>
  <c r="K120" i="7"/>
  <c r="I121" i="7"/>
  <c r="J121" i="7"/>
  <c r="K121" i="7"/>
  <c r="I122" i="7"/>
  <c r="J122" i="7"/>
  <c r="K122" i="7"/>
  <c r="I123" i="7"/>
  <c r="J123" i="7"/>
  <c r="K123" i="7"/>
  <c r="I124" i="7"/>
  <c r="J124" i="7"/>
  <c r="K124" i="7"/>
  <c r="I125" i="7"/>
  <c r="J125" i="7"/>
  <c r="K125" i="7"/>
  <c r="I126" i="7"/>
  <c r="J126" i="7"/>
  <c r="K126" i="7"/>
  <c r="J118" i="7"/>
  <c r="K118" i="7"/>
  <c r="I118" i="7"/>
  <c r="I97" i="7"/>
  <c r="J97" i="7"/>
  <c r="K97" i="7"/>
  <c r="I98" i="7"/>
  <c r="J98" i="7"/>
  <c r="K98" i="7"/>
  <c r="I99" i="7"/>
  <c r="J99" i="7"/>
  <c r="K99" i="7"/>
  <c r="I100" i="7"/>
  <c r="J100" i="7"/>
  <c r="K100" i="7"/>
  <c r="I101" i="7"/>
  <c r="J101" i="7"/>
  <c r="K101" i="7"/>
  <c r="I102" i="7"/>
  <c r="J102" i="7"/>
  <c r="K102" i="7"/>
  <c r="I103" i="7"/>
  <c r="J103" i="7"/>
  <c r="K103" i="7"/>
  <c r="I104" i="7"/>
  <c r="J104" i="7"/>
  <c r="K104" i="7"/>
  <c r="J96" i="7"/>
  <c r="K96" i="7"/>
  <c r="I96" i="7"/>
  <c r="I88" i="7"/>
  <c r="J88" i="7"/>
  <c r="K88" i="7"/>
  <c r="I89" i="7"/>
  <c r="J89" i="7"/>
  <c r="K89" i="7"/>
  <c r="I90" i="7"/>
  <c r="J90" i="7"/>
  <c r="K90" i="7"/>
  <c r="I91" i="7"/>
  <c r="J91" i="7"/>
  <c r="K91" i="7"/>
  <c r="I92" i="7"/>
  <c r="J92" i="7"/>
  <c r="K92" i="7"/>
  <c r="I93" i="7"/>
  <c r="J93" i="7"/>
  <c r="K93" i="7"/>
  <c r="I94" i="7"/>
  <c r="J94" i="7"/>
  <c r="K94" i="7"/>
  <c r="I95" i="7"/>
  <c r="J95" i="7"/>
  <c r="K95" i="7"/>
  <c r="J87" i="7"/>
  <c r="K87" i="7"/>
  <c r="I87" i="7"/>
  <c r="I65" i="7"/>
  <c r="J65" i="7"/>
  <c r="K65" i="7"/>
  <c r="I66" i="7"/>
  <c r="J66" i="7"/>
  <c r="K66" i="7"/>
  <c r="I67" i="7"/>
  <c r="J67" i="7"/>
  <c r="K67" i="7"/>
  <c r="I68" i="7"/>
  <c r="J68" i="7"/>
  <c r="K68" i="7"/>
  <c r="I69" i="7"/>
  <c r="J69" i="7"/>
  <c r="K69" i="7"/>
  <c r="I70" i="7"/>
  <c r="J70" i="7"/>
  <c r="K70" i="7"/>
  <c r="I71" i="7"/>
  <c r="J71" i="7"/>
  <c r="K71" i="7"/>
  <c r="I72" i="7"/>
  <c r="J72" i="7"/>
  <c r="K72" i="7"/>
  <c r="J64" i="7"/>
  <c r="K64" i="7"/>
  <c r="I64" i="7"/>
  <c r="I56" i="7"/>
  <c r="J56" i="7"/>
  <c r="K56" i="7"/>
  <c r="I57" i="7"/>
  <c r="J57" i="7"/>
  <c r="K57" i="7"/>
  <c r="I58" i="7"/>
  <c r="J58" i="7"/>
  <c r="K58" i="7"/>
  <c r="I59" i="7"/>
  <c r="J59" i="7"/>
  <c r="K59" i="7"/>
  <c r="I60" i="7"/>
  <c r="J60" i="7"/>
  <c r="K60" i="7"/>
  <c r="I61" i="7"/>
  <c r="J61" i="7"/>
  <c r="K61" i="7"/>
  <c r="I62" i="7"/>
  <c r="J62" i="7"/>
  <c r="K62" i="7"/>
  <c r="I63" i="7"/>
  <c r="J63" i="7"/>
  <c r="K63" i="7"/>
  <c r="J55" i="7"/>
  <c r="K55" i="7"/>
  <c r="I55" i="7"/>
  <c r="I33" i="7"/>
  <c r="J33" i="7"/>
  <c r="K33" i="7"/>
  <c r="I34" i="7"/>
  <c r="J34" i="7"/>
  <c r="K34" i="7"/>
  <c r="I35" i="7"/>
  <c r="J35" i="7"/>
  <c r="K35" i="7"/>
  <c r="I36" i="7"/>
  <c r="J36" i="7"/>
  <c r="K36" i="7"/>
  <c r="I37" i="7"/>
  <c r="J37" i="7"/>
  <c r="K37" i="7"/>
  <c r="I38" i="7"/>
  <c r="J38" i="7"/>
  <c r="K38" i="7"/>
  <c r="I39" i="7"/>
  <c r="J39" i="7"/>
  <c r="K39" i="7"/>
  <c r="I40" i="7"/>
  <c r="J40" i="7"/>
  <c r="K40" i="7"/>
  <c r="J32" i="7"/>
  <c r="K32" i="7"/>
  <c r="I32" i="7"/>
  <c r="I24" i="7"/>
  <c r="J24" i="7"/>
  <c r="K24" i="7"/>
  <c r="I25" i="7"/>
  <c r="J25" i="7"/>
  <c r="K25" i="7"/>
  <c r="I26" i="7"/>
  <c r="J26" i="7"/>
  <c r="K26" i="7"/>
  <c r="I27" i="7"/>
  <c r="J27" i="7"/>
  <c r="K27" i="7"/>
  <c r="I28" i="7"/>
  <c r="J28" i="7"/>
  <c r="K28" i="7"/>
  <c r="I29" i="7"/>
  <c r="J29" i="7"/>
  <c r="K29" i="7"/>
  <c r="I30" i="7"/>
  <c r="J30" i="7"/>
  <c r="K30" i="7"/>
  <c r="I31" i="7"/>
  <c r="J31" i="7"/>
  <c r="K31" i="7"/>
  <c r="J23" i="7"/>
  <c r="K23" i="7"/>
  <c r="I23" i="7"/>
  <c r="K326" i="7"/>
  <c r="J326" i="7"/>
  <c r="I326" i="7"/>
  <c r="K325" i="7"/>
  <c r="J325" i="7"/>
  <c r="I325" i="7"/>
  <c r="K324" i="7"/>
  <c r="J324" i="7"/>
  <c r="I324" i="7"/>
  <c r="K323" i="7"/>
  <c r="J323" i="7"/>
  <c r="I323" i="7"/>
  <c r="K322" i="7"/>
  <c r="J322" i="7"/>
  <c r="I322" i="7"/>
  <c r="F322" i="7"/>
  <c r="D322" i="7"/>
  <c r="D323" i="7" s="1"/>
  <c r="C322" i="7"/>
  <c r="C323" i="7" s="1"/>
  <c r="B322" i="7"/>
  <c r="B323" i="7" s="1"/>
  <c r="K321" i="7"/>
  <c r="J321" i="7"/>
  <c r="I321" i="7"/>
  <c r="E321" i="7"/>
  <c r="F321" i="7" s="1"/>
  <c r="K320" i="7"/>
  <c r="J320" i="7"/>
  <c r="I320" i="7"/>
  <c r="E320" i="7"/>
  <c r="F320" i="7" s="1"/>
  <c r="K319" i="7"/>
  <c r="J319" i="7"/>
  <c r="I319" i="7"/>
  <c r="E319" i="7"/>
  <c r="F319" i="7" s="1"/>
  <c r="K318" i="7"/>
  <c r="J318" i="7"/>
  <c r="I318" i="7"/>
  <c r="E318" i="7"/>
  <c r="F318" i="7" s="1"/>
  <c r="K317" i="7"/>
  <c r="J317" i="7"/>
  <c r="I317" i="7"/>
  <c r="E317" i="7"/>
  <c r="F317" i="7" s="1"/>
  <c r="K316" i="7"/>
  <c r="J316" i="7"/>
  <c r="I316" i="7"/>
  <c r="F316" i="7"/>
  <c r="E316" i="7"/>
  <c r="F315" i="7"/>
  <c r="E315" i="7"/>
  <c r="E314" i="7"/>
  <c r="F314" i="7" s="1"/>
  <c r="E313" i="7"/>
  <c r="F313" i="7" s="1"/>
  <c r="L312" i="7"/>
  <c r="E312" i="7"/>
  <c r="F312" i="7" s="1"/>
  <c r="H311" i="7"/>
  <c r="E311" i="7"/>
  <c r="F311" i="7" s="1"/>
  <c r="E310" i="7"/>
  <c r="F310" i="7" s="1"/>
  <c r="H309" i="7"/>
  <c r="E309" i="7"/>
  <c r="F309" i="7" s="1"/>
  <c r="H308" i="7"/>
  <c r="H310" i="7" s="1"/>
  <c r="E308" i="7"/>
  <c r="F308" i="7" s="1"/>
  <c r="H307" i="7"/>
  <c r="E307" i="7"/>
  <c r="F307" i="7" s="1"/>
  <c r="P311" i="7" s="1"/>
  <c r="H306" i="7"/>
  <c r="E306" i="7"/>
  <c r="F306" i="7" s="1"/>
  <c r="E305" i="7"/>
  <c r="F305" i="7" s="1"/>
  <c r="F304" i="7"/>
  <c r="E304" i="7"/>
  <c r="F290" i="7"/>
  <c r="D290" i="7"/>
  <c r="D291" i="7" s="1"/>
  <c r="C290" i="7"/>
  <c r="C291" i="7" s="1"/>
  <c r="B290" i="7"/>
  <c r="B291" i="7" s="1"/>
  <c r="E289" i="7"/>
  <c r="F289" i="7" s="1"/>
  <c r="E288" i="7"/>
  <c r="F288" i="7" s="1"/>
  <c r="E287" i="7"/>
  <c r="F287" i="7" s="1"/>
  <c r="E286" i="7"/>
  <c r="F286" i="7" s="1"/>
  <c r="F285" i="7"/>
  <c r="E285" i="7"/>
  <c r="E284" i="7"/>
  <c r="F284" i="7" s="1"/>
  <c r="E283" i="7"/>
  <c r="F283" i="7" s="1"/>
  <c r="E282" i="7"/>
  <c r="F282" i="7" s="1"/>
  <c r="E281" i="7"/>
  <c r="F281" i="7" s="1"/>
  <c r="L280" i="7"/>
  <c r="E280" i="7"/>
  <c r="F280" i="7" s="1"/>
  <c r="H279" i="7"/>
  <c r="E279" i="7"/>
  <c r="F279" i="7" s="1"/>
  <c r="E278" i="7"/>
  <c r="F278" i="7" s="1"/>
  <c r="H292" i="7" s="1"/>
  <c r="H277" i="7"/>
  <c r="E277" i="7"/>
  <c r="F277" i="7" s="1"/>
  <c r="H276" i="7"/>
  <c r="E276" i="7"/>
  <c r="F276" i="7" s="1"/>
  <c r="H290" i="7" s="1"/>
  <c r="H275" i="7"/>
  <c r="E275" i="7"/>
  <c r="H274" i="7"/>
  <c r="E274" i="7"/>
  <c r="F274" i="7" s="1"/>
  <c r="E273" i="7"/>
  <c r="E272" i="7"/>
  <c r="F272" i="7" s="1"/>
  <c r="P276" i="7" s="1"/>
  <c r="K271" i="7"/>
  <c r="J271" i="7"/>
  <c r="I271" i="7"/>
  <c r="J270" i="7"/>
  <c r="J269" i="7"/>
  <c r="K268" i="7"/>
  <c r="J268" i="7"/>
  <c r="F252" i="7"/>
  <c r="D252" i="7"/>
  <c r="D253" i="7" s="1"/>
  <c r="K267" i="7" s="1"/>
  <c r="C252" i="7"/>
  <c r="C253" i="7" s="1"/>
  <c r="J267" i="7" s="1"/>
  <c r="B252" i="7"/>
  <c r="E251" i="7"/>
  <c r="F251" i="7" s="1"/>
  <c r="E250" i="7"/>
  <c r="F250" i="7" s="1"/>
  <c r="E249" i="7"/>
  <c r="F249" i="7" s="1"/>
  <c r="E248" i="7"/>
  <c r="F248" i="7" s="1"/>
  <c r="E247" i="7"/>
  <c r="F247" i="7" s="1"/>
  <c r="E246" i="7"/>
  <c r="F246" i="7" s="1"/>
  <c r="E245" i="7"/>
  <c r="F245" i="7" s="1"/>
  <c r="E244" i="7"/>
  <c r="F244" i="7" s="1"/>
  <c r="F243" i="7"/>
  <c r="E243" i="7"/>
  <c r="L242" i="7"/>
  <c r="E242" i="7"/>
  <c r="F242" i="7" s="1"/>
  <c r="H241" i="7"/>
  <c r="E241" i="7"/>
  <c r="F241" i="7" s="1"/>
  <c r="P245" i="7" s="1"/>
  <c r="E240" i="7"/>
  <c r="F240" i="7" s="1"/>
  <c r="H239" i="7"/>
  <c r="E239" i="7"/>
  <c r="F239" i="7" s="1"/>
  <c r="H238" i="7"/>
  <c r="H240" i="7" s="1"/>
  <c r="E238" i="7"/>
  <c r="F238" i="7" s="1"/>
  <c r="H237" i="7"/>
  <c r="E237" i="7"/>
  <c r="H236" i="7"/>
  <c r="E236" i="7"/>
  <c r="F236" i="7" s="1"/>
  <c r="E235" i="7"/>
  <c r="F235" i="7" s="1"/>
  <c r="E234" i="7"/>
  <c r="F234" i="7" s="1"/>
  <c r="F220" i="7"/>
  <c r="D220" i="7"/>
  <c r="D221" i="7" s="1"/>
  <c r="C220" i="7"/>
  <c r="C221" i="7" s="1"/>
  <c r="B220" i="7"/>
  <c r="B221" i="7" s="1"/>
  <c r="E219" i="7"/>
  <c r="F219" i="7" s="1"/>
  <c r="E218" i="7"/>
  <c r="F218" i="7" s="1"/>
  <c r="E217" i="7"/>
  <c r="F217" i="7" s="1"/>
  <c r="E216" i="7"/>
  <c r="F216" i="7" s="1"/>
  <c r="E215" i="7"/>
  <c r="F215" i="7" s="1"/>
  <c r="E214" i="7"/>
  <c r="F214" i="7" s="1"/>
  <c r="E213" i="7"/>
  <c r="F213" i="7" s="1"/>
  <c r="E212" i="7"/>
  <c r="F212" i="7" s="1"/>
  <c r="E211" i="7"/>
  <c r="F211" i="7" s="1"/>
  <c r="L210" i="7"/>
  <c r="E210" i="7"/>
  <c r="F210" i="7" s="1"/>
  <c r="H209" i="7"/>
  <c r="E209" i="7"/>
  <c r="F209" i="7" s="1"/>
  <c r="E208" i="7"/>
  <c r="F208" i="7" s="1"/>
  <c r="H207" i="7"/>
  <c r="E207" i="7"/>
  <c r="F207" i="7" s="1"/>
  <c r="H206" i="7"/>
  <c r="E206" i="7"/>
  <c r="F206" i="7" s="1"/>
  <c r="H205" i="7"/>
  <c r="E205" i="7"/>
  <c r="F205" i="7" s="1"/>
  <c r="H204" i="7"/>
  <c r="E204" i="7"/>
  <c r="F204" i="7" s="1"/>
  <c r="E203" i="7"/>
  <c r="F203" i="7" s="1"/>
  <c r="E202" i="7"/>
  <c r="F202" i="7" s="1"/>
  <c r="K201" i="7"/>
  <c r="J201" i="7"/>
  <c r="I201" i="7"/>
  <c r="K200" i="7"/>
  <c r="J200" i="7"/>
  <c r="I200" i="7"/>
  <c r="K199" i="7"/>
  <c r="J199" i="7"/>
  <c r="I199" i="7"/>
  <c r="K198" i="7"/>
  <c r="J198" i="7"/>
  <c r="I198" i="7"/>
  <c r="K197" i="7"/>
  <c r="J197" i="7"/>
  <c r="I197" i="7"/>
  <c r="K196" i="7"/>
  <c r="J196" i="7"/>
  <c r="I196" i="7"/>
  <c r="K195" i="7"/>
  <c r="J195" i="7"/>
  <c r="I195" i="7"/>
  <c r="K194" i="7"/>
  <c r="J194" i="7"/>
  <c r="I194" i="7"/>
  <c r="K193" i="7"/>
  <c r="J193" i="7"/>
  <c r="I193" i="7"/>
  <c r="K192" i="7"/>
  <c r="J192" i="7"/>
  <c r="I192" i="7"/>
  <c r="K191" i="7"/>
  <c r="J191" i="7"/>
  <c r="I191" i="7"/>
  <c r="K190" i="7"/>
  <c r="J190" i="7"/>
  <c r="I190" i="7"/>
  <c r="K189" i="7"/>
  <c r="J189" i="7"/>
  <c r="I189" i="7"/>
  <c r="K188" i="7"/>
  <c r="J188" i="7"/>
  <c r="I188" i="7"/>
  <c r="F188" i="7"/>
  <c r="D188" i="7"/>
  <c r="D189" i="7" s="1"/>
  <c r="C188" i="7"/>
  <c r="C189" i="7" s="1"/>
  <c r="B188" i="7"/>
  <c r="B189" i="7" s="1"/>
  <c r="K187" i="7"/>
  <c r="J187" i="7"/>
  <c r="I187" i="7"/>
  <c r="E187" i="7"/>
  <c r="F187" i="7" s="1"/>
  <c r="K186" i="7"/>
  <c r="J186" i="7"/>
  <c r="I186" i="7"/>
  <c r="E186" i="7"/>
  <c r="F186" i="7" s="1"/>
  <c r="K185" i="7"/>
  <c r="J185" i="7"/>
  <c r="I185" i="7"/>
  <c r="E185" i="7"/>
  <c r="F185" i="7" s="1"/>
  <c r="K184" i="7"/>
  <c r="J184" i="7"/>
  <c r="I184" i="7"/>
  <c r="E184" i="7"/>
  <c r="F184" i="7" s="1"/>
  <c r="E183" i="7"/>
  <c r="F183" i="7" s="1"/>
  <c r="E182" i="7"/>
  <c r="F182" i="7" s="1"/>
  <c r="E181" i="7"/>
  <c r="F181" i="7" s="1"/>
  <c r="F180" i="7"/>
  <c r="E180" i="7"/>
  <c r="E179" i="7"/>
  <c r="F179" i="7" s="1"/>
  <c r="L178" i="7"/>
  <c r="F178" i="7"/>
  <c r="E178" i="7"/>
  <c r="H177" i="7"/>
  <c r="E177" i="7"/>
  <c r="F177" i="7" s="1"/>
  <c r="E176" i="7"/>
  <c r="F176" i="7" s="1"/>
  <c r="H175" i="7"/>
  <c r="E175" i="7"/>
  <c r="F175" i="7" s="1"/>
  <c r="H174" i="7"/>
  <c r="H176" i="7" s="1"/>
  <c r="E174" i="7"/>
  <c r="F174" i="7" s="1"/>
  <c r="H173" i="7"/>
  <c r="F173" i="7"/>
  <c r="E173" i="7"/>
  <c r="H172" i="7"/>
  <c r="E172" i="7"/>
  <c r="F172" i="7" s="1"/>
  <c r="E171" i="7"/>
  <c r="F171" i="7" s="1"/>
  <c r="E170" i="7"/>
  <c r="K169" i="7"/>
  <c r="J169" i="7"/>
  <c r="I169" i="7"/>
  <c r="K168" i="7"/>
  <c r="J168" i="7"/>
  <c r="I168" i="7"/>
  <c r="K167" i="7"/>
  <c r="J167" i="7"/>
  <c r="I167" i="7"/>
  <c r="K166" i="7"/>
  <c r="J166" i="7"/>
  <c r="I166" i="7"/>
  <c r="K165" i="7"/>
  <c r="J165" i="7"/>
  <c r="I165" i="7"/>
  <c r="K164" i="7"/>
  <c r="J164" i="7"/>
  <c r="I164" i="7"/>
  <c r="K163" i="7"/>
  <c r="J163" i="7"/>
  <c r="I163" i="7"/>
  <c r="K162" i="7"/>
  <c r="J162" i="7"/>
  <c r="I162" i="7"/>
  <c r="K161" i="7"/>
  <c r="J161" i="7"/>
  <c r="I161" i="7"/>
  <c r="K160" i="7"/>
  <c r="J160" i="7"/>
  <c r="I160" i="7"/>
  <c r="K159" i="7"/>
  <c r="J159" i="7"/>
  <c r="I159" i="7"/>
  <c r="K158" i="7"/>
  <c r="J158" i="7"/>
  <c r="I158" i="7"/>
  <c r="K157" i="7"/>
  <c r="J157" i="7"/>
  <c r="I157" i="7"/>
  <c r="K156" i="7"/>
  <c r="J156" i="7"/>
  <c r="I156" i="7"/>
  <c r="F156" i="7"/>
  <c r="D156" i="7"/>
  <c r="C156" i="7"/>
  <c r="C157" i="7" s="1"/>
  <c r="B156" i="7"/>
  <c r="B157" i="7" s="1"/>
  <c r="K155" i="7"/>
  <c r="J155" i="7"/>
  <c r="I155" i="7"/>
  <c r="E155" i="7"/>
  <c r="F155" i="7" s="1"/>
  <c r="K154" i="7"/>
  <c r="J154" i="7"/>
  <c r="I154" i="7"/>
  <c r="E154" i="7"/>
  <c r="F154" i="7" s="1"/>
  <c r="K153" i="7"/>
  <c r="J153" i="7"/>
  <c r="I153" i="7"/>
  <c r="E153" i="7"/>
  <c r="F153" i="7" s="1"/>
  <c r="K152" i="7"/>
  <c r="J152" i="7"/>
  <c r="I152" i="7"/>
  <c r="E152" i="7"/>
  <c r="F152" i="7" s="1"/>
  <c r="E151" i="7"/>
  <c r="F151" i="7" s="1"/>
  <c r="F150" i="7"/>
  <c r="E150" i="7"/>
  <c r="E149" i="7"/>
  <c r="F149" i="7" s="1"/>
  <c r="F148" i="7"/>
  <c r="E148" i="7"/>
  <c r="F147" i="7"/>
  <c r="E147" i="7"/>
  <c r="L146" i="7"/>
  <c r="E146" i="7"/>
  <c r="F146" i="7" s="1"/>
  <c r="H160" i="7" s="1"/>
  <c r="H145" i="7"/>
  <c r="F145" i="7"/>
  <c r="E145" i="7"/>
  <c r="E144" i="7"/>
  <c r="F144" i="7" s="1"/>
  <c r="H143" i="7"/>
  <c r="E143" i="7"/>
  <c r="F143" i="7" s="1"/>
  <c r="H142" i="7"/>
  <c r="E142" i="7"/>
  <c r="F142" i="7" s="1"/>
  <c r="H141" i="7"/>
  <c r="F141" i="7"/>
  <c r="H155" i="7" s="1"/>
  <c r="E141" i="7"/>
  <c r="H140" i="7"/>
  <c r="E140" i="7"/>
  <c r="F139" i="7"/>
  <c r="P143" i="7" s="1"/>
  <c r="E139" i="7"/>
  <c r="E138" i="7"/>
  <c r="F123" i="7"/>
  <c r="D123" i="7"/>
  <c r="D124" i="7" s="1"/>
  <c r="C123" i="7"/>
  <c r="B123" i="7"/>
  <c r="B124" i="7" s="1"/>
  <c r="E122" i="7"/>
  <c r="F122" i="7" s="1"/>
  <c r="E121" i="7"/>
  <c r="F121" i="7" s="1"/>
  <c r="E120" i="7"/>
  <c r="F120" i="7" s="1"/>
  <c r="E119" i="7"/>
  <c r="F119" i="7" s="1"/>
  <c r="E118" i="7"/>
  <c r="F118" i="7" s="1"/>
  <c r="F117" i="7"/>
  <c r="E117" i="7"/>
  <c r="E116" i="7"/>
  <c r="F116" i="7" s="1"/>
  <c r="E115" i="7"/>
  <c r="F115" i="7" s="1"/>
  <c r="E114" i="7"/>
  <c r="F114" i="7" s="1"/>
  <c r="L113" i="7"/>
  <c r="E113" i="7"/>
  <c r="F113" i="7" s="1"/>
  <c r="H112" i="7"/>
  <c r="E112" i="7"/>
  <c r="F112" i="7" s="1"/>
  <c r="E111" i="7"/>
  <c r="F111" i="7" s="1"/>
  <c r="P115" i="7" s="1"/>
  <c r="H110" i="7"/>
  <c r="E110" i="7"/>
  <c r="F110" i="7" s="1"/>
  <c r="H109" i="7"/>
  <c r="H111" i="7" s="1"/>
  <c r="E109" i="7"/>
  <c r="F109" i="7" s="1"/>
  <c r="H108" i="7"/>
  <c r="E108" i="7"/>
  <c r="F108" i="7" s="1"/>
  <c r="H107" i="7"/>
  <c r="E107" i="7"/>
  <c r="F107" i="7" s="1"/>
  <c r="E106" i="7"/>
  <c r="F106" i="7" s="1"/>
  <c r="E105" i="7"/>
  <c r="F91" i="7"/>
  <c r="D91" i="7"/>
  <c r="D92" i="7" s="1"/>
  <c r="C91" i="7"/>
  <c r="C92" i="7" s="1"/>
  <c r="B91" i="7"/>
  <c r="B92" i="7" s="1"/>
  <c r="F90" i="7"/>
  <c r="E90" i="7"/>
  <c r="E89" i="7"/>
  <c r="F89" i="7" s="1"/>
  <c r="E88" i="7"/>
  <c r="F88" i="7" s="1"/>
  <c r="E87" i="7"/>
  <c r="F87" i="7" s="1"/>
  <c r="E86" i="7"/>
  <c r="F86" i="7" s="1"/>
  <c r="E85" i="7"/>
  <c r="F85" i="7" s="1"/>
  <c r="E84" i="7"/>
  <c r="F84" i="7" s="1"/>
  <c r="E83" i="7"/>
  <c r="F83" i="7" s="1"/>
  <c r="E82" i="7"/>
  <c r="F82" i="7" s="1"/>
  <c r="L81" i="7"/>
  <c r="E81" i="7"/>
  <c r="F81" i="7" s="1"/>
  <c r="H80" i="7"/>
  <c r="E80" i="7"/>
  <c r="F80" i="7" s="1"/>
  <c r="E79" i="7"/>
  <c r="F79" i="7" s="1"/>
  <c r="H93" i="7" s="1"/>
  <c r="H78" i="7"/>
  <c r="E78" i="7"/>
  <c r="F78" i="7" s="1"/>
  <c r="H77" i="7"/>
  <c r="H79" i="7" s="1"/>
  <c r="E77" i="7"/>
  <c r="F77" i="7" s="1"/>
  <c r="H76" i="7"/>
  <c r="E76" i="7"/>
  <c r="F76" i="7" s="1"/>
  <c r="H75" i="7"/>
  <c r="E75" i="7"/>
  <c r="F75" i="7" s="1"/>
  <c r="E74" i="7"/>
  <c r="F74" i="7" s="1"/>
  <c r="E73" i="7"/>
  <c r="F73" i="7" s="1"/>
  <c r="F59" i="7"/>
  <c r="D59" i="7"/>
  <c r="D60" i="7" s="1"/>
  <c r="C59" i="7"/>
  <c r="C60" i="7" s="1"/>
  <c r="B59" i="7"/>
  <c r="B60" i="7" s="1"/>
  <c r="F58" i="7"/>
  <c r="E58" i="7"/>
  <c r="E57" i="7"/>
  <c r="F57" i="7" s="1"/>
  <c r="E56" i="7"/>
  <c r="F56" i="7" s="1"/>
  <c r="E55" i="7"/>
  <c r="F55" i="7" s="1"/>
  <c r="E54" i="7"/>
  <c r="F54" i="7" s="1"/>
  <c r="E53" i="7"/>
  <c r="F53" i="7" s="1"/>
  <c r="E52" i="7"/>
  <c r="F52" i="7" s="1"/>
  <c r="E51" i="7"/>
  <c r="F51" i="7" s="1"/>
  <c r="E50" i="7"/>
  <c r="F50" i="7" s="1"/>
  <c r="L49" i="7"/>
  <c r="E49" i="7"/>
  <c r="F49" i="7" s="1"/>
  <c r="H48" i="7"/>
  <c r="E48" i="7"/>
  <c r="F48" i="7" s="1"/>
  <c r="E47" i="7"/>
  <c r="F47" i="7" s="1"/>
  <c r="H46" i="7"/>
  <c r="E46" i="7"/>
  <c r="F46" i="7" s="1"/>
  <c r="H45" i="7"/>
  <c r="E45" i="7"/>
  <c r="F45" i="7" s="1"/>
  <c r="H44" i="7"/>
  <c r="L44" i="7" s="1"/>
  <c r="E44" i="7"/>
  <c r="F44" i="7" s="1"/>
  <c r="H43" i="7"/>
  <c r="E43" i="7"/>
  <c r="F43" i="7" s="1"/>
  <c r="E42" i="7"/>
  <c r="F42" i="7" s="1"/>
  <c r="E41" i="7"/>
  <c r="F27" i="7"/>
  <c r="D27" i="7"/>
  <c r="D28" i="7" s="1"/>
  <c r="C27" i="7"/>
  <c r="C28" i="7" s="1"/>
  <c r="B27" i="7"/>
  <c r="B28" i="7" s="1"/>
  <c r="E26" i="7"/>
  <c r="F26" i="7" s="1"/>
  <c r="E25" i="7"/>
  <c r="F25" i="7" s="1"/>
  <c r="E24" i="7"/>
  <c r="F24" i="7" s="1"/>
  <c r="E23" i="7"/>
  <c r="F23" i="7" s="1"/>
  <c r="E22" i="7"/>
  <c r="F22" i="7" s="1"/>
  <c r="E21" i="7"/>
  <c r="F21" i="7" s="1"/>
  <c r="E20" i="7"/>
  <c r="F20" i="7" s="1"/>
  <c r="E19" i="7"/>
  <c r="F19" i="7" s="1"/>
  <c r="E18" i="7"/>
  <c r="F18" i="7" s="1"/>
  <c r="L17" i="7"/>
  <c r="E17" i="7"/>
  <c r="F17" i="7" s="1"/>
  <c r="H16" i="7"/>
  <c r="E16" i="7"/>
  <c r="F16" i="7" s="1"/>
  <c r="E15" i="7"/>
  <c r="F15" i="7" s="1"/>
  <c r="H14" i="7"/>
  <c r="L14" i="7" s="1"/>
  <c r="E14" i="7"/>
  <c r="F14" i="7" s="1"/>
  <c r="H13" i="7"/>
  <c r="E13" i="7"/>
  <c r="F13" i="7" s="1"/>
  <c r="H12" i="7"/>
  <c r="E12" i="7"/>
  <c r="H11" i="7"/>
  <c r="E11" i="7"/>
  <c r="F11" i="7" s="1"/>
  <c r="E10" i="7"/>
  <c r="F10" i="7" s="1"/>
  <c r="H24" i="7" s="1"/>
  <c r="E9" i="7"/>
  <c r="F9" i="7" s="1"/>
  <c r="H23" i="7" s="1"/>
  <c r="I296" i="6"/>
  <c r="J296" i="6"/>
  <c r="K296" i="6"/>
  <c r="I297" i="6"/>
  <c r="J297" i="6"/>
  <c r="K297" i="6"/>
  <c r="I298" i="6"/>
  <c r="J298" i="6"/>
  <c r="K298" i="6"/>
  <c r="I299" i="6"/>
  <c r="J299" i="6"/>
  <c r="K299" i="6"/>
  <c r="I300" i="6"/>
  <c r="J300" i="6"/>
  <c r="K300" i="6"/>
  <c r="I301" i="6"/>
  <c r="J301" i="6"/>
  <c r="K301" i="6"/>
  <c r="I302" i="6"/>
  <c r="J302" i="6"/>
  <c r="K302" i="6"/>
  <c r="I303" i="6"/>
  <c r="J303" i="6"/>
  <c r="K303" i="6"/>
  <c r="J295" i="6"/>
  <c r="K295" i="6"/>
  <c r="I295" i="6"/>
  <c r="I287" i="6"/>
  <c r="J287" i="6"/>
  <c r="K287" i="6"/>
  <c r="I288" i="6"/>
  <c r="J288" i="6"/>
  <c r="K288" i="6"/>
  <c r="I289" i="6"/>
  <c r="J289" i="6"/>
  <c r="K289" i="6"/>
  <c r="I290" i="6"/>
  <c r="J290" i="6"/>
  <c r="K290" i="6"/>
  <c r="I291" i="6"/>
  <c r="J291" i="6"/>
  <c r="K291" i="6"/>
  <c r="I292" i="6"/>
  <c r="J292" i="6"/>
  <c r="K292" i="6"/>
  <c r="I293" i="6"/>
  <c r="J293" i="6"/>
  <c r="K293" i="6"/>
  <c r="I294" i="6"/>
  <c r="J294" i="6"/>
  <c r="K294" i="6"/>
  <c r="J286" i="6"/>
  <c r="K286" i="6"/>
  <c r="I286" i="6"/>
  <c r="E275" i="6"/>
  <c r="K326" i="6"/>
  <c r="J326" i="6"/>
  <c r="I326" i="6"/>
  <c r="K325" i="6"/>
  <c r="J325" i="6"/>
  <c r="I325" i="6"/>
  <c r="K324" i="6"/>
  <c r="J324" i="6"/>
  <c r="I324" i="6"/>
  <c r="K323" i="6"/>
  <c r="J323" i="6"/>
  <c r="I323" i="6"/>
  <c r="K322" i="6"/>
  <c r="J322" i="6"/>
  <c r="I322" i="6"/>
  <c r="F322" i="6"/>
  <c r="D322" i="6"/>
  <c r="D323" i="6" s="1"/>
  <c r="C322" i="6"/>
  <c r="C323" i="6" s="1"/>
  <c r="B322" i="6"/>
  <c r="B323" i="6" s="1"/>
  <c r="K321" i="6"/>
  <c r="J321" i="6"/>
  <c r="I321" i="6"/>
  <c r="E321" i="6"/>
  <c r="F321" i="6" s="1"/>
  <c r="K320" i="6"/>
  <c r="J320" i="6"/>
  <c r="I320" i="6"/>
  <c r="E320" i="6"/>
  <c r="F320" i="6" s="1"/>
  <c r="K319" i="6"/>
  <c r="J319" i="6"/>
  <c r="I319" i="6"/>
  <c r="E319" i="6"/>
  <c r="F319" i="6" s="1"/>
  <c r="K318" i="6"/>
  <c r="J318" i="6"/>
  <c r="I318" i="6"/>
  <c r="E318" i="6"/>
  <c r="F318" i="6" s="1"/>
  <c r="K317" i="6"/>
  <c r="J317" i="6"/>
  <c r="I317" i="6"/>
  <c r="E317" i="6"/>
  <c r="F317" i="6" s="1"/>
  <c r="K316" i="6"/>
  <c r="J316" i="6"/>
  <c r="I316" i="6"/>
  <c r="E316" i="6"/>
  <c r="F316" i="6" s="1"/>
  <c r="E315" i="6"/>
  <c r="F315" i="6" s="1"/>
  <c r="E314" i="6"/>
  <c r="F314" i="6" s="1"/>
  <c r="E313" i="6"/>
  <c r="F313" i="6" s="1"/>
  <c r="L312" i="6"/>
  <c r="E312" i="6"/>
  <c r="F312" i="6" s="1"/>
  <c r="H311" i="6"/>
  <c r="E311" i="6"/>
  <c r="F311" i="6" s="1"/>
  <c r="E310" i="6"/>
  <c r="F310" i="6" s="1"/>
  <c r="H309" i="6"/>
  <c r="E309" i="6"/>
  <c r="F309" i="6" s="1"/>
  <c r="H308" i="6"/>
  <c r="H310" i="6" s="1"/>
  <c r="E308" i="6"/>
  <c r="F308" i="6" s="1"/>
  <c r="H307" i="6"/>
  <c r="E307" i="6"/>
  <c r="F307" i="6" s="1"/>
  <c r="H306" i="6"/>
  <c r="E306" i="6"/>
  <c r="F306" i="6" s="1"/>
  <c r="P310" i="6" s="1"/>
  <c r="E305" i="6"/>
  <c r="F305" i="6" s="1"/>
  <c r="P309" i="6" s="1"/>
  <c r="E304" i="6"/>
  <c r="F290" i="6"/>
  <c r="D290" i="6"/>
  <c r="D291" i="6" s="1"/>
  <c r="C290" i="6"/>
  <c r="C291" i="6" s="1"/>
  <c r="B290" i="6"/>
  <c r="B291" i="6" s="1"/>
  <c r="E289" i="6"/>
  <c r="F289" i="6" s="1"/>
  <c r="E288" i="6"/>
  <c r="F288" i="6" s="1"/>
  <c r="F287" i="6"/>
  <c r="E287" i="6"/>
  <c r="E286" i="6"/>
  <c r="F286" i="6" s="1"/>
  <c r="E285" i="6"/>
  <c r="F285" i="6" s="1"/>
  <c r="E284" i="6"/>
  <c r="F284" i="6" s="1"/>
  <c r="E283" i="6"/>
  <c r="F283" i="6" s="1"/>
  <c r="E282" i="6"/>
  <c r="F282" i="6" s="1"/>
  <c r="E281" i="6"/>
  <c r="F281" i="6" s="1"/>
  <c r="L280" i="6"/>
  <c r="E280" i="6"/>
  <c r="F280" i="6" s="1"/>
  <c r="H279" i="6"/>
  <c r="E279" i="6"/>
  <c r="F279" i="6" s="1"/>
  <c r="E278" i="6"/>
  <c r="F278" i="6" s="1"/>
  <c r="H292" i="6" s="1"/>
  <c r="H277" i="6"/>
  <c r="E277" i="6"/>
  <c r="F277" i="6" s="1"/>
  <c r="H276" i="6"/>
  <c r="E276" i="6"/>
  <c r="F276" i="6" s="1"/>
  <c r="H275" i="6"/>
  <c r="F275" i="6"/>
  <c r="H274" i="6"/>
  <c r="E274" i="6"/>
  <c r="F274" i="6" s="1"/>
  <c r="E273" i="6"/>
  <c r="F273" i="6" s="1"/>
  <c r="E272" i="6"/>
  <c r="F272" i="6" s="1"/>
  <c r="K271" i="6"/>
  <c r="J271" i="6"/>
  <c r="I271" i="6"/>
  <c r="J270" i="6"/>
  <c r="J269" i="6"/>
  <c r="K268" i="6"/>
  <c r="J268" i="6"/>
  <c r="K267" i="6"/>
  <c r="J267" i="6"/>
  <c r="K266" i="6"/>
  <c r="J266" i="6"/>
  <c r="I256" i="6"/>
  <c r="J256" i="6"/>
  <c r="K256" i="6"/>
  <c r="I257" i="6"/>
  <c r="J257" i="6"/>
  <c r="K257" i="6"/>
  <c r="I258" i="6"/>
  <c r="J258" i="6"/>
  <c r="K258" i="6"/>
  <c r="I259" i="6"/>
  <c r="J259" i="6"/>
  <c r="K259" i="6"/>
  <c r="I260" i="6"/>
  <c r="J260" i="6"/>
  <c r="K260" i="6"/>
  <c r="I261" i="6"/>
  <c r="J261" i="6"/>
  <c r="K261" i="6"/>
  <c r="I262" i="6"/>
  <c r="J262" i="6"/>
  <c r="K262" i="6"/>
  <c r="I263" i="6"/>
  <c r="J263" i="6"/>
  <c r="K263" i="6"/>
  <c r="J255" i="6"/>
  <c r="K255" i="6"/>
  <c r="I255" i="6"/>
  <c r="I247" i="6"/>
  <c r="J247" i="6"/>
  <c r="K247" i="6"/>
  <c r="I248" i="6"/>
  <c r="J248" i="6"/>
  <c r="K248" i="6"/>
  <c r="I249" i="6"/>
  <c r="J249" i="6"/>
  <c r="K249" i="6"/>
  <c r="I250" i="6"/>
  <c r="J250" i="6"/>
  <c r="K250" i="6"/>
  <c r="I251" i="6"/>
  <c r="J251" i="6"/>
  <c r="K251" i="6"/>
  <c r="I252" i="6"/>
  <c r="J252" i="6"/>
  <c r="K252" i="6"/>
  <c r="I253" i="6"/>
  <c r="J253" i="6"/>
  <c r="K253" i="6"/>
  <c r="I254" i="6"/>
  <c r="J254" i="6"/>
  <c r="K254" i="6"/>
  <c r="J246" i="6"/>
  <c r="K246" i="6"/>
  <c r="I246" i="6"/>
  <c r="I194" i="6"/>
  <c r="J194" i="6"/>
  <c r="K194" i="6"/>
  <c r="I195" i="6"/>
  <c r="J195" i="6"/>
  <c r="K195" i="6"/>
  <c r="I196" i="6"/>
  <c r="J196" i="6"/>
  <c r="K196" i="6"/>
  <c r="I197" i="6"/>
  <c r="J197" i="6"/>
  <c r="K197" i="6"/>
  <c r="I198" i="6"/>
  <c r="J198" i="6"/>
  <c r="K198" i="6"/>
  <c r="I199" i="6"/>
  <c r="J199" i="6"/>
  <c r="K199" i="6"/>
  <c r="I200" i="6"/>
  <c r="J200" i="6"/>
  <c r="K200" i="6"/>
  <c r="I201" i="6"/>
  <c r="J201" i="6"/>
  <c r="K201" i="6"/>
  <c r="J193" i="6"/>
  <c r="K193" i="6"/>
  <c r="I193" i="6"/>
  <c r="I185" i="6"/>
  <c r="J185" i="6"/>
  <c r="K185" i="6"/>
  <c r="I186" i="6"/>
  <c r="J186" i="6"/>
  <c r="K186" i="6"/>
  <c r="I187" i="6"/>
  <c r="J187" i="6"/>
  <c r="K187" i="6"/>
  <c r="I188" i="6"/>
  <c r="J188" i="6"/>
  <c r="K188" i="6"/>
  <c r="I189" i="6"/>
  <c r="J189" i="6"/>
  <c r="K189" i="6"/>
  <c r="I190" i="6"/>
  <c r="J190" i="6"/>
  <c r="K190" i="6"/>
  <c r="I191" i="6"/>
  <c r="J191" i="6"/>
  <c r="K191" i="6"/>
  <c r="I192" i="6"/>
  <c r="J192" i="6"/>
  <c r="K192" i="6"/>
  <c r="J184" i="6"/>
  <c r="K184" i="6"/>
  <c r="I184" i="6"/>
  <c r="I162" i="6"/>
  <c r="J162" i="6"/>
  <c r="K162" i="6"/>
  <c r="I163" i="6"/>
  <c r="J163" i="6"/>
  <c r="K163" i="6"/>
  <c r="I164" i="6"/>
  <c r="J164" i="6"/>
  <c r="K164" i="6"/>
  <c r="I165" i="6"/>
  <c r="J165" i="6"/>
  <c r="K165" i="6"/>
  <c r="I166" i="6"/>
  <c r="J166" i="6"/>
  <c r="K166" i="6"/>
  <c r="I167" i="6"/>
  <c r="J167" i="6"/>
  <c r="K167" i="6"/>
  <c r="I168" i="6"/>
  <c r="J168" i="6"/>
  <c r="K168" i="6"/>
  <c r="I169" i="6"/>
  <c r="J169" i="6"/>
  <c r="K169" i="6"/>
  <c r="J161" i="6"/>
  <c r="K161" i="6"/>
  <c r="I161" i="6"/>
  <c r="I153" i="6"/>
  <c r="J153" i="6"/>
  <c r="K153" i="6"/>
  <c r="I154" i="6"/>
  <c r="J154" i="6"/>
  <c r="K154" i="6"/>
  <c r="I155" i="6"/>
  <c r="J155" i="6"/>
  <c r="K155" i="6"/>
  <c r="I156" i="6"/>
  <c r="J156" i="6"/>
  <c r="K156" i="6"/>
  <c r="I157" i="6"/>
  <c r="J157" i="6"/>
  <c r="K157" i="6"/>
  <c r="I158" i="6"/>
  <c r="J158" i="6"/>
  <c r="K158" i="6"/>
  <c r="I159" i="6"/>
  <c r="J159" i="6"/>
  <c r="K159" i="6"/>
  <c r="I160" i="6"/>
  <c r="J160" i="6"/>
  <c r="K160" i="6"/>
  <c r="J152" i="6"/>
  <c r="K152" i="6"/>
  <c r="I152" i="6"/>
  <c r="F252" i="6"/>
  <c r="D252" i="6"/>
  <c r="D253" i="6" s="1"/>
  <c r="C252" i="6"/>
  <c r="C253" i="6" s="1"/>
  <c r="B252" i="6"/>
  <c r="B253" i="6" s="1"/>
  <c r="I267" i="6" s="1"/>
  <c r="E251" i="6"/>
  <c r="F251" i="6" s="1"/>
  <c r="E250" i="6"/>
  <c r="F250" i="6" s="1"/>
  <c r="E249" i="6"/>
  <c r="F249" i="6" s="1"/>
  <c r="E248" i="6"/>
  <c r="F248" i="6" s="1"/>
  <c r="E247" i="6"/>
  <c r="F247" i="6" s="1"/>
  <c r="E246" i="6"/>
  <c r="F246" i="6" s="1"/>
  <c r="E245" i="6"/>
  <c r="F245" i="6" s="1"/>
  <c r="E244" i="6"/>
  <c r="F244" i="6" s="1"/>
  <c r="E243" i="6"/>
  <c r="F243" i="6" s="1"/>
  <c r="L242" i="6"/>
  <c r="E242" i="6"/>
  <c r="F242" i="6" s="1"/>
  <c r="H241" i="6"/>
  <c r="E241" i="6"/>
  <c r="F241" i="6" s="1"/>
  <c r="F240" i="6"/>
  <c r="E240" i="6"/>
  <c r="H239" i="6"/>
  <c r="E239" i="6"/>
  <c r="F239" i="6" s="1"/>
  <c r="H238" i="6"/>
  <c r="E238" i="6"/>
  <c r="F238" i="6" s="1"/>
  <c r="H237" i="6"/>
  <c r="F237" i="6"/>
  <c r="E237" i="6"/>
  <c r="H236" i="6"/>
  <c r="E236" i="6"/>
  <c r="F236" i="6" s="1"/>
  <c r="P240" i="6" s="1"/>
  <c r="E235" i="6"/>
  <c r="F235" i="6" s="1"/>
  <c r="E234" i="6"/>
  <c r="K233" i="6"/>
  <c r="J233" i="6"/>
  <c r="I233" i="6"/>
  <c r="K232" i="6"/>
  <c r="J232" i="6"/>
  <c r="I232" i="6"/>
  <c r="K231" i="6"/>
  <c r="J231" i="6"/>
  <c r="I231" i="6"/>
  <c r="K230" i="6"/>
  <c r="J230" i="6"/>
  <c r="I230" i="6"/>
  <c r="K229" i="6"/>
  <c r="J229" i="6"/>
  <c r="I229" i="6"/>
  <c r="K228" i="6"/>
  <c r="J228" i="6"/>
  <c r="I228" i="6"/>
  <c r="K227" i="6"/>
  <c r="J227" i="6"/>
  <c r="I227" i="6"/>
  <c r="K226" i="6"/>
  <c r="J226" i="6"/>
  <c r="I226" i="6"/>
  <c r="K225" i="6"/>
  <c r="J225" i="6"/>
  <c r="I225" i="6"/>
  <c r="K224" i="6"/>
  <c r="J224" i="6"/>
  <c r="I224" i="6"/>
  <c r="K223" i="6"/>
  <c r="J223" i="6"/>
  <c r="I223" i="6"/>
  <c r="K222" i="6"/>
  <c r="J222" i="6"/>
  <c r="I222" i="6"/>
  <c r="K221" i="6"/>
  <c r="J221" i="6"/>
  <c r="I221" i="6"/>
  <c r="K220" i="6"/>
  <c r="J220" i="6"/>
  <c r="I220" i="6"/>
  <c r="F220" i="6"/>
  <c r="D220" i="6"/>
  <c r="D221" i="6" s="1"/>
  <c r="C220" i="6"/>
  <c r="C221" i="6" s="1"/>
  <c r="B220" i="6"/>
  <c r="K219" i="6"/>
  <c r="J219" i="6"/>
  <c r="I219" i="6"/>
  <c r="E219" i="6"/>
  <c r="F219" i="6" s="1"/>
  <c r="K218" i="6"/>
  <c r="J218" i="6"/>
  <c r="I218" i="6"/>
  <c r="E218" i="6"/>
  <c r="F218" i="6" s="1"/>
  <c r="K217" i="6"/>
  <c r="J217" i="6"/>
  <c r="I217" i="6"/>
  <c r="F217" i="6"/>
  <c r="E217" i="6"/>
  <c r="K216" i="6"/>
  <c r="J216" i="6"/>
  <c r="I216" i="6"/>
  <c r="E216" i="6"/>
  <c r="F216" i="6" s="1"/>
  <c r="E215" i="6"/>
  <c r="F215" i="6" s="1"/>
  <c r="E214" i="6"/>
  <c r="F214" i="6" s="1"/>
  <c r="F213" i="6"/>
  <c r="E213" i="6"/>
  <c r="E212" i="6"/>
  <c r="F212" i="6" s="1"/>
  <c r="E211" i="6"/>
  <c r="F211" i="6" s="1"/>
  <c r="L210" i="6"/>
  <c r="E210" i="6"/>
  <c r="F210" i="6" s="1"/>
  <c r="H209" i="6"/>
  <c r="E209" i="6"/>
  <c r="F209" i="6" s="1"/>
  <c r="E208" i="6"/>
  <c r="F208" i="6" s="1"/>
  <c r="H207" i="6"/>
  <c r="E207" i="6"/>
  <c r="F207" i="6" s="1"/>
  <c r="H206" i="6"/>
  <c r="E206" i="6"/>
  <c r="F206" i="6" s="1"/>
  <c r="H205" i="6"/>
  <c r="E205" i="6"/>
  <c r="H204" i="6"/>
  <c r="E204" i="6"/>
  <c r="F204" i="6" s="1"/>
  <c r="H218" i="6" s="1"/>
  <c r="E203" i="6"/>
  <c r="F203" i="6" s="1"/>
  <c r="F202" i="6"/>
  <c r="E202" i="6"/>
  <c r="F188" i="6"/>
  <c r="D188" i="6"/>
  <c r="D189" i="6" s="1"/>
  <c r="C188" i="6"/>
  <c r="C189" i="6" s="1"/>
  <c r="B188" i="6"/>
  <c r="B189" i="6" s="1"/>
  <c r="E187" i="6"/>
  <c r="F187" i="6" s="1"/>
  <c r="E186" i="6"/>
  <c r="F186" i="6" s="1"/>
  <c r="E185" i="6"/>
  <c r="F185" i="6" s="1"/>
  <c r="E184" i="6"/>
  <c r="F184" i="6" s="1"/>
  <c r="E183" i="6"/>
  <c r="F183" i="6" s="1"/>
  <c r="E182" i="6"/>
  <c r="F182" i="6" s="1"/>
  <c r="E181" i="6"/>
  <c r="F181" i="6" s="1"/>
  <c r="E180" i="6"/>
  <c r="F180" i="6" s="1"/>
  <c r="E179" i="6"/>
  <c r="F179" i="6" s="1"/>
  <c r="L178" i="6"/>
  <c r="E178" i="6"/>
  <c r="F178" i="6" s="1"/>
  <c r="H177" i="6"/>
  <c r="E177" i="6"/>
  <c r="F177" i="6" s="1"/>
  <c r="E176" i="6"/>
  <c r="F176" i="6" s="1"/>
  <c r="H175" i="6"/>
  <c r="E175" i="6"/>
  <c r="F175" i="6" s="1"/>
  <c r="H174" i="6"/>
  <c r="H176" i="6" s="1"/>
  <c r="F174" i="6"/>
  <c r="E174" i="6"/>
  <c r="H173" i="6"/>
  <c r="E173" i="6"/>
  <c r="F173" i="6" s="1"/>
  <c r="H172" i="6"/>
  <c r="E172" i="6"/>
  <c r="F172" i="6" s="1"/>
  <c r="E171" i="6"/>
  <c r="F171" i="6" s="1"/>
  <c r="E170" i="6"/>
  <c r="F156" i="6"/>
  <c r="D156" i="6"/>
  <c r="D157" i="6" s="1"/>
  <c r="C156" i="6"/>
  <c r="C157" i="6" s="1"/>
  <c r="B156" i="6"/>
  <c r="B157" i="6" s="1"/>
  <c r="E155" i="6"/>
  <c r="F155" i="6" s="1"/>
  <c r="E154" i="6"/>
  <c r="F154" i="6" s="1"/>
  <c r="E153" i="6"/>
  <c r="F153" i="6" s="1"/>
  <c r="E152" i="6"/>
  <c r="F152" i="6" s="1"/>
  <c r="E151" i="6"/>
  <c r="F151" i="6" s="1"/>
  <c r="E150" i="6"/>
  <c r="F150" i="6" s="1"/>
  <c r="E149" i="6"/>
  <c r="F149" i="6" s="1"/>
  <c r="E148" i="6"/>
  <c r="F148" i="6" s="1"/>
  <c r="E147" i="6"/>
  <c r="F147" i="6" s="1"/>
  <c r="L146" i="6"/>
  <c r="E146" i="6"/>
  <c r="F146" i="6" s="1"/>
  <c r="H145" i="6"/>
  <c r="E145" i="6"/>
  <c r="F145" i="6" s="1"/>
  <c r="E144" i="6"/>
  <c r="F144" i="6" s="1"/>
  <c r="H143" i="6"/>
  <c r="F143" i="6"/>
  <c r="E143" i="6"/>
  <c r="H142" i="6"/>
  <c r="H144" i="6" s="1"/>
  <c r="L144" i="6" s="1"/>
  <c r="E142" i="6"/>
  <c r="F142" i="6" s="1"/>
  <c r="H141" i="6"/>
  <c r="E141" i="6"/>
  <c r="F141" i="6" s="1"/>
  <c r="H140" i="6"/>
  <c r="E140" i="6"/>
  <c r="F140" i="6" s="1"/>
  <c r="E139" i="6"/>
  <c r="F139" i="6" s="1"/>
  <c r="E138" i="6"/>
  <c r="F138" i="6" s="1"/>
  <c r="I103" i="6"/>
  <c r="J103" i="6"/>
  <c r="K103" i="6"/>
  <c r="I104" i="6"/>
  <c r="J104" i="6"/>
  <c r="K104" i="6"/>
  <c r="I88" i="6"/>
  <c r="J88" i="6"/>
  <c r="K88" i="6"/>
  <c r="I89" i="6"/>
  <c r="J89" i="6"/>
  <c r="K89" i="6"/>
  <c r="I90" i="6"/>
  <c r="J90" i="6"/>
  <c r="K90" i="6"/>
  <c r="I91" i="6"/>
  <c r="J91" i="6"/>
  <c r="K91" i="6"/>
  <c r="I92" i="6"/>
  <c r="J92" i="6"/>
  <c r="K92" i="6"/>
  <c r="I93" i="6"/>
  <c r="J93" i="6"/>
  <c r="K93" i="6"/>
  <c r="I94" i="6"/>
  <c r="J94" i="6"/>
  <c r="K94" i="6"/>
  <c r="I95" i="6"/>
  <c r="J95" i="6"/>
  <c r="K95" i="6"/>
  <c r="I96" i="6"/>
  <c r="J96" i="6"/>
  <c r="K96" i="6"/>
  <c r="I97" i="6"/>
  <c r="J97" i="6"/>
  <c r="K97" i="6"/>
  <c r="I98" i="6"/>
  <c r="J98" i="6"/>
  <c r="K98" i="6"/>
  <c r="I99" i="6"/>
  <c r="J99" i="6"/>
  <c r="K99" i="6"/>
  <c r="I100" i="6"/>
  <c r="J100" i="6"/>
  <c r="K100" i="6"/>
  <c r="I101" i="6"/>
  <c r="J101" i="6"/>
  <c r="K101" i="6"/>
  <c r="I102" i="6"/>
  <c r="J102" i="6"/>
  <c r="K102" i="6"/>
  <c r="J87" i="6"/>
  <c r="K87" i="6"/>
  <c r="I87" i="6"/>
  <c r="F91" i="6"/>
  <c r="D91" i="6"/>
  <c r="D92" i="6" s="1"/>
  <c r="C91" i="6"/>
  <c r="B91" i="6"/>
  <c r="B92" i="6" s="1"/>
  <c r="E90" i="6"/>
  <c r="F90" i="6" s="1"/>
  <c r="E89" i="6"/>
  <c r="F89" i="6" s="1"/>
  <c r="E88" i="6"/>
  <c r="F88" i="6" s="1"/>
  <c r="E87" i="6"/>
  <c r="F87" i="6" s="1"/>
  <c r="E86" i="6"/>
  <c r="F86" i="6" s="1"/>
  <c r="E85" i="6"/>
  <c r="F85" i="6" s="1"/>
  <c r="E84" i="6"/>
  <c r="F84" i="6" s="1"/>
  <c r="F83" i="6"/>
  <c r="E83" i="6"/>
  <c r="E82" i="6"/>
  <c r="F82" i="6" s="1"/>
  <c r="L81" i="6"/>
  <c r="E81" i="6"/>
  <c r="F81" i="6" s="1"/>
  <c r="H80" i="6"/>
  <c r="E80" i="6"/>
  <c r="F80" i="6" s="1"/>
  <c r="E79" i="6"/>
  <c r="F79" i="6" s="1"/>
  <c r="H78" i="6"/>
  <c r="E78" i="6"/>
  <c r="F78" i="6" s="1"/>
  <c r="H77" i="6"/>
  <c r="L77" i="6" s="1"/>
  <c r="E77" i="6"/>
  <c r="F77" i="6" s="1"/>
  <c r="H76" i="6"/>
  <c r="E76" i="6"/>
  <c r="F76" i="6" s="1"/>
  <c r="H75" i="6"/>
  <c r="E75" i="6"/>
  <c r="F75" i="6" s="1"/>
  <c r="E74" i="6"/>
  <c r="E73" i="6"/>
  <c r="F73" i="6" s="1"/>
  <c r="I56" i="6"/>
  <c r="J56" i="6"/>
  <c r="K56" i="6"/>
  <c r="I57" i="6"/>
  <c r="J57" i="6"/>
  <c r="K57" i="6"/>
  <c r="I58" i="6"/>
  <c r="J58" i="6"/>
  <c r="K58" i="6"/>
  <c r="I59" i="6"/>
  <c r="J59" i="6"/>
  <c r="K59" i="6"/>
  <c r="I60" i="6"/>
  <c r="J60" i="6"/>
  <c r="K60" i="6"/>
  <c r="I61" i="6"/>
  <c r="J61" i="6"/>
  <c r="K61" i="6"/>
  <c r="I62" i="6"/>
  <c r="J62" i="6"/>
  <c r="K62" i="6"/>
  <c r="I63" i="6"/>
  <c r="J63" i="6"/>
  <c r="K63" i="6"/>
  <c r="I64" i="6"/>
  <c r="J64" i="6"/>
  <c r="K64" i="6"/>
  <c r="I65" i="6"/>
  <c r="J65" i="6"/>
  <c r="K65" i="6"/>
  <c r="I66" i="6"/>
  <c r="J66" i="6"/>
  <c r="K66" i="6"/>
  <c r="I67" i="6"/>
  <c r="J67" i="6"/>
  <c r="K67" i="6"/>
  <c r="I68" i="6"/>
  <c r="J68" i="6"/>
  <c r="K68" i="6"/>
  <c r="J55" i="6"/>
  <c r="K55" i="6"/>
  <c r="I55" i="6"/>
  <c r="H63" i="6"/>
  <c r="H59" i="6"/>
  <c r="F59" i="6"/>
  <c r="D59" i="6"/>
  <c r="D60" i="6" s="1"/>
  <c r="C59" i="6"/>
  <c r="C60" i="6" s="1"/>
  <c r="B59" i="6"/>
  <c r="B60" i="6" s="1"/>
  <c r="E58" i="6"/>
  <c r="F58" i="6" s="1"/>
  <c r="E57" i="6"/>
  <c r="F57" i="6" s="1"/>
  <c r="E56" i="6"/>
  <c r="F56" i="6" s="1"/>
  <c r="F55" i="6"/>
  <c r="E55" i="6"/>
  <c r="E54" i="6"/>
  <c r="F54" i="6" s="1"/>
  <c r="E53" i="6"/>
  <c r="F53" i="6" s="1"/>
  <c r="H58" i="6" s="1"/>
  <c r="F52" i="6"/>
  <c r="H57" i="6" s="1"/>
  <c r="E52" i="6"/>
  <c r="E51" i="6"/>
  <c r="F51" i="6" s="1"/>
  <c r="E50" i="6"/>
  <c r="F50" i="6" s="1"/>
  <c r="L49" i="6"/>
  <c r="E49" i="6"/>
  <c r="F49" i="6" s="1"/>
  <c r="P53" i="6" s="1"/>
  <c r="H48" i="6"/>
  <c r="E48" i="6"/>
  <c r="F48" i="6" s="1"/>
  <c r="E47" i="6"/>
  <c r="F47" i="6" s="1"/>
  <c r="H46" i="6"/>
  <c r="E46" i="6"/>
  <c r="F46" i="6" s="1"/>
  <c r="P50" i="6" s="1"/>
  <c r="H45" i="6"/>
  <c r="F45" i="6"/>
  <c r="P49" i="6" s="1"/>
  <c r="E45" i="6"/>
  <c r="H44" i="6"/>
  <c r="L44" i="6" s="1"/>
  <c r="E44" i="6"/>
  <c r="F44" i="6" s="1"/>
  <c r="H43" i="6"/>
  <c r="L43" i="6" s="1"/>
  <c r="E43" i="6"/>
  <c r="F43" i="6" s="1"/>
  <c r="E42" i="6"/>
  <c r="F42" i="6" s="1"/>
  <c r="P46" i="6" s="1"/>
  <c r="E41" i="6"/>
  <c r="I33" i="6"/>
  <c r="J33" i="6"/>
  <c r="K33" i="6"/>
  <c r="I34" i="6"/>
  <c r="J34" i="6"/>
  <c r="K34" i="6"/>
  <c r="I35" i="6"/>
  <c r="J35" i="6"/>
  <c r="K35" i="6"/>
  <c r="I36" i="6"/>
  <c r="J36" i="6"/>
  <c r="K36" i="6"/>
  <c r="J32" i="6"/>
  <c r="K32" i="6"/>
  <c r="I32" i="6"/>
  <c r="I24" i="6"/>
  <c r="J24" i="6"/>
  <c r="K24" i="6"/>
  <c r="I25" i="6"/>
  <c r="J25" i="6"/>
  <c r="K25" i="6"/>
  <c r="I26" i="6"/>
  <c r="J26" i="6"/>
  <c r="K26" i="6"/>
  <c r="I27" i="6"/>
  <c r="J27" i="6"/>
  <c r="K27" i="6"/>
  <c r="I28" i="6"/>
  <c r="J28" i="6"/>
  <c r="K28" i="6"/>
  <c r="I29" i="6"/>
  <c r="J29" i="6"/>
  <c r="K29" i="6"/>
  <c r="I30" i="6"/>
  <c r="J30" i="6"/>
  <c r="K30" i="6"/>
  <c r="I31" i="6"/>
  <c r="J31" i="6"/>
  <c r="K31" i="6"/>
  <c r="J23" i="6"/>
  <c r="K23" i="6"/>
  <c r="I23" i="6"/>
  <c r="L113" i="6"/>
  <c r="H112" i="6"/>
  <c r="H110" i="6"/>
  <c r="L110" i="6" s="1"/>
  <c r="H109" i="6"/>
  <c r="H111" i="6" s="1"/>
  <c r="L111" i="6" s="1"/>
  <c r="H108" i="6"/>
  <c r="L107" i="6"/>
  <c r="H107" i="6"/>
  <c r="F27" i="6"/>
  <c r="D27" i="6"/>
  <c r="D28" i="6" s="1"/>
  <c r="C27" i="6"/>
  <c r="C28" i="6" s="1"/>
  <c r="B27" i="6"/>
  <c r="B28" i="6" s="1"/>
  <c r="E26" i="6"/>
  <c r="F26" i="6" s="1"/>
  <c r="E25" i="6"/>
  <c r="F25" i="6" s="1"/>
  <c r="E24" i="6"/>
  <c r="F24" i="6" s="1"/>
  <c r="E23" i="6"/>
  <c r="F23" i="6" s="1"/>
  <c r="E22" i="6"/>
  <c r="F22" i="6" s="1"/>
  <c r="E21" i="6"/>
  <c r="F21" i="6" s="1"/>
  <c r="E20" i="6"/>
  <c r="F20" i="6" s="1"/>
  <c r="E19" i="6"/>
  <c r="F19" i="6" s="1"/>
  <c r="E18" i="6"/>
  <c r="F18" i="6" s="1"/>
  <c r="L17" i="6"/>
  <c r="E17" i="6"/>
  <c r="F17" i="6" s="1"/>
  <c r="H16" i="6"/>
  <c r="E16" i="6"/>
  <c r="F16" i="6" s="1"/>
  <c r="E15" i="6"/>
  <c r="F15" i="6" s="1"/>
  <c r="H14" i="6"/>
  <c r="L14" i="6" s="1"/>
  <c r="E14" i="6"/>
  <c r="F14" i="6" s="1"/>
  <c r="H13" i="6"/>
  <c r="L13" i="6" s="1"/>
  <c r="E13" i="6"/>
  <c r="F13" i="6" s="1"/>
  <c r="H12" i="6"/>
  <c r="E12" i="6"/>
  <c r="F12" i="6" s="1"/>
  <c r="H11" i="6"/>
  <c r="L11" i="6" s="1"/>
  <c r="E11" i="6"/>
  <c r="F11" i="6" s="1"/>
  <c r="E10" i="6"/>
  <c r="F10" i="6" s="1"/>
  <c r="E9" i="6"/>
  <c r="F9" i="6" s="1"/>
  <c r="P52" i="6" l="1"/>
  <c r="H62" i="6"/>
  <c r="L109" i="6"/>
  <c r="P47" i="6"/>
  <c r="L46" i="6"/>
  <c r="H61" i="6"/>
  <c r="H87" i="6"/>
  <c r="H178" i="6"/>
  <c r="L237" i="6"/>
  <c r="L274" i="6"/>
  <c r="L276" i="6"/>
  <c r="P312" i="6"/>
  <c r="L75" i="7"/>
  <c r="H242" i="7"/>
  <c r="H312" i="7"/>
  <c r="H56" i="6"/>
  <c r="L76" i="6"/>
  <c r="L78" i="6"/>
  <c r="L141" i="6"/>
  <c r="L176" i="6"/>
  <c r="L207" i="6"/>
  <c r="L236" i="6"/>
  <c r="L239" i="6"/>
  <c r="L310" i="6"/>
  <c r="H47" i="6"/>
  <c r="L47" i="6" s="1"/>
  <c r="H91" i="6"/>
  <c r="L143" i="6"/>
  <c r="L173" i="6"/>
  <c r="L204" i="6"/>
  <c r="P212" i="6"/>
  <c r="L275" i="6"/>
  <c r="H278" i="6"/>
  <c r="P311" i="6"/>
  <c r="P313" i="6"/>
  <c r="P112" i="7"/>
  <c r="L141" i="7"/>
  <c r="L274" i="7"/>
  <c r="H278" i="7"/>
  <c r="L307" i="7"/>
  <c r="H60" i="6"/>
  <c r="L175" i="6"/>
  <c r="L206" i="6"/>
  <c r="H240" i="6"/>
  <c r="L240" i="6" s="1"/>
  <c r="I266" i="6"/>
  <c r="L307" i="6"/>
  <c r="L309" i="6"/>
  <c r="L11" i="7"/>
  <c r="L13" i="7"/>
  <c r="H47" i="7"/>
  <c r="H91" i="7"/>
  <c r="L108" i="7"/>
  <c r="P145" i="7"/>
  <c r="L207" i="7"/>
  <c r="P308" i="7"/>
  <c r="P316" i="7"/>
  <c r="P310" i="7"/>
  <c r="P314" i="7"/>
  <c r="P309" i="7"/>
  <c r="P312" i="7"/>
  <c r="P315" i="7"/>
  <c r="P243" i="7"/>
  <c r="P238" i="7"/>
  <c r="J266" i="7"/>
  <c r="P244" i="7"/>
  <c r="P246" i="7"/>
  <c r="P242" i="7"/>
  <c r="P240" i="7"/>
  <c r="H218" i="7"/>
  <c r="H222" i="7"/>
  <c r="H216" i="7"/>
  <c r="H220" i="7"/>
  <c r="H159" i="7"/>
  <c r="H157" i="7"/>
  <c r="P114" i="7"/>
  <c r="P111" i="7"/>
  <c r="P113" i="7"/>
  <c r="P116" i="7"/>
  <c r="P106" i="7"/>
  <c r="P110" i="7"/>
  <c r="P117" i="7"/>
  <c r="H89" i="7"/>
  <c r="P182" i="7"/>
  <c r="H192" i="7"/>
  <c r="H187" i="7"/>
  <c r="P171" i="7"/>
  <c r="P77" i="7"/>
  <c r="S77" i="7" s="1"/>
  <c r="P74" i="7"/>
  <c r="S74" i="7" s="1"/>
  <c r="H58" i="7"/>
  <c r="H61" i="7"/>
  <c r="H59" i="7"/>
  <c r="P42" i="7"/>
  <c r="P10" i="7"/>
  <c r="H27" i="7"/>
  <c r="P14" i="7"/>
  <c r="S10" i="7"/>
  <c r="H60" i="7"/>
  <c r="P50" i="7"/>
  <c r="P52" i="7"/>
  <c r="H62" i="7"/>
  <c r="S276" i="7"/>
  <c r="H95" i="7"/>
  <c r="P85" i="7"/>
  <c r="H294" i="7"/>
  <c r="P284" i="7"/>
  <c r="H56" i="7"/>
  <c r="P46" i="7"/>
  <c r="S143" i="7"/>
  <c r="P181" i="7"/>
  <c r="H191" i="7"/>
  <c r="H221" i="7"/>
  <c r="P211" i="7"/>
  <c r="H223" i="7"/>
  <c r="P213" i="7"/>
  <c r="L47" i="7"/>
  <c r="L78" i="7"/>
  <c r="L111" i="7"/>
  <c r="P139" i="7"/>
  <c r="L176" i="7"/>
  <c r="L205" i="7"/>
  <c r="P203" i="7"/>
  <c r="P239" i="7"/>
  <c r="L240" i="7"/>
  <c r="P235" i="7"/>
  <c r="H288" i="7"/>
  <c r="L277" i="7"/>
  <c r="L310" i="7"/>
  <c r="E27" i="7"/>
  <c r="B29" i="7" s="1"/>
  <c r="B30" i="7" s="1"/>
  <c r="F12" i="7"/>
  <c r="S14" i="7"/>
  <c r="H31" i="7"/>
  <c r="P21" i="7"/>
  <c r="P47" i="7"/>
  <c r="H57" i="7"/>
  <c r="P175" i="7"/>
  <c r="H185" i="7"/>
  <c r="H189" i="7"/>
  <c r="P179" i="7"/>
  <c r="H29" i="7"/>
  <c r="P19" i="7"/>
  <c r="H63" i="7"/>
  <c r="P53" i="7"/>
  <c r="H92" i="7"/>
  <c r="P82" i="7"/>
  <c r="P84" i="7"/>
  <c r="H94" i="7"/>
  <c r="P148" i="7"/>
  <c r="H158" i="7"/>
  <c r="H188" i="7"/>
  <c r="P178" i="7"/>
  <c r="H190" i="7"/>
  <c r="P180" i="7"/>
  <c r="P207" i="7"/>
  <c r="H217" i="7"/>
  <c r="P209" i="7"/>
  <c r="H219" i="7"/>
  <c r="H291" i="7"/>
  <c r="P281" i="7"/>
  <c r="H293" i="7"/>
  <c r="P283" i="7"/>
  <c r="L76" i="7"/>
  <c r="L142" i="7"/>
  <c r="L172" i="7"/>
  <c r="L206" i="7"/>
  <c r="L236" i="7"/>
  <c r="L239" i="7"/>
  <c r="L275" i="7"/>
  <c r="P273" i="7"/>
  <c r="L309" i="7"/>
  <c r="P305" i="7"/>
  <c r="H25" i="7"/>
  <c r="P15" i="7"/>
  <c r="H28" i="7"/>
  <c r="P18" i="7"/>
  <c r="H30" i="7"/>
  <c r="P20" i="7"/>
  <c r="H88" i="7"/>
  <c r="P78" i="7"/>
  <c r="H90" i="7"/>
  <c r="P80" i="7"/>
  <c r="P146" i="7"/>
  <c r="H156" i="7"/>
  <c r="P176" i="7"/>
  <c r="H186" i="7"/>
  <c r="H224" i="7"/>
  <c r="P214" i="7"/>
  <c r="H280" i="7"/>
  <c r="L278" i="7"/>
  <c r="L12" i="7"/>
  <c r="H49" i="7"/>
  <c r="L46" i="7"/>
  <c r="L79" i="7"/>
  <c r="H113" i="7"/>
  <c r="L110" i="7"/>
  <c r="L143" i="7"/>
  <c r="L173" i="7"/>
  <c r="L175" i="7"/>
  <c r="L204" i="7"/>
  <c r="P313" i="7"/>
  <c r="P13" i="7"/>
  <c r="H15" i="7"/>
  <c r="L45" i="7"/>
  <c r="P49" i="7"/>
  <c r="E59" i="7"/>
  <c r="B61" i="7" s="1"/>
  <c r="D62" i="7" s="1"/>
  <c r="I43" i="7" s="1"/>
  <c r="J43" i="7" s="1"/>
  <c r="H81" i="7"/>
  <c r="E91" i="7"/>
  <c r="B93" i="7" s="1"/>
  <c r="B94" i="7" s="1"/>
  <c r="C124" i="7"/>
  <c r="F138" i="7"/>
  <c r="P150" i="7"/>
  <c r="F170" i="7"/>
  <c r="P177" i="7"/>
  <c r="H178" i="7"/>
  <c r="P206" i="7"/>
  <c r="H208" i="7"/>
  <c r="L208" i="7" s="1"/>
  <c r="L238" i="7"/>
  <c r="I266" i="7"/>
  <c r="F273" i="7"/>
  <c r="L276" i="7"/>
  <c r="P278" i="7"/>
  <c r="P280" i="7"/>
  <c r="P282" i="7"/>
  <c r="P304" i="7"/>
  <c r="L306" i="7"/>
  <c r="E322" i="7"/>
  <c r="B324" i="7" s="1"/>
  <c r="B326" i="7" s="1"/>
  <c r="I307" i="7" s="1"/>
  <c r="P73" i="7"/>
  <c r="L77" i="7"/>
  <c r="P79" i="7"/>
  <c r="P81" i="7"/>
  <c r="P83" i="7"/>
  <c r="L107" i="7"/>
  <c r="L140" i="7"/>
  <c r="H144" i="7"/>
  <c r="L144" i="7" s="1"/>
  <c r="S145" i="7"/>
  <c r="P147" i="7"/>
  <c r="P149" i="7"/>
  <c r="H153" i="7"/>
  <c r="L174" i="7"/>
  <c r="E188" i="7"/>
  <c r="B190" i="7" s="1"/>
  <c r="B191" i="7" s="1"/>
  <c r="E220" i="7"/>
  <c r="B222" i="7" s="1"/>
  <c r="B223" i="7" s="1"/>
  <c r="L237" i="7"/>
  <c r="B253" i="7"/>
  <c r="I267" i="7" s="1"/>
  <c r="H286" i="7"/>
  <c r="P9" i="7"/>
  <c r="P17" i="7"/>
  <c r="L43" i="7"/>
  <c r="P51" i="7"/>
  <c r="H87" i="7"/>
  <c r="F105" i="7"/>
  <c r="F140" i="7"/>
  <c r="E156" i="7"/>
  <c r="B158" i="7" s="1"/>
  <c r="B159" i="7" s="1"/>
  <c r="D157" i="7"/>
  <c r="P202" i="7"/>
  <c r="P208" i="7"/>
  <c r="P210" i="7"/>
  <c r="P212" i="7"/>
  <c r="P234" i="7"/>
  <c r="F237" i="7"/>
  <c r="P241" i="7" s="1"/>
  <c r="E252" i="7"/>
  <c r="B254" i="7" s="1"/>
  <c r="D255" i="7" s="1"/>
  <c r="K266" i="7"/>
  <c r="F275" i="7"/>
  <c r="L308" i="7"/>
  <c r="F41" i="7"/>
  <c r="P48" i="7"/>
  <c r="L109" i="7"/>
  <c r="E123" i="7"/>
  <c r="B125" i="7" s="1"/>
  <c r="B126" i="7" s="1"/>
  <c r="E290" i="7"/>
  <c r="B292" i="7" s="1"/>
  <c r="B293" i="7" s="1"/>
  <c r="P314" i="6"/>
  <c r="P316" i="6"/>
  <c r="P305" i="6"/>
  <c r="P273" i="6"/>
  <c r="S273" i="6" s="1"/>
  <c r="H287" i="6"/>
  <c r="P277" i="6"/>
  <c r="H289" i="6"/>
  <c r="P279" i="6"/>
  <c r="P315" i="6"/>
  <c r="H294" i="6"/>
  <c r="P284" i="6"/>
  <c r="L278" i="6"/>
  <c r="H280" i="6"/>
  <c r="P276" i="6"/>
  <c r="H290" i="6"/>
  <c r="H288" i="6"/>
  <c r="H312" i="6"/>
  <c r="H291" i="6"/>
  <c r="P281" i="6"/>
  <c r="P283" i="6"/>
  <c r="H293" i="6"/>
  <c r="E290" i="6"/>
  <c r="B292" i="6" s="1"/>
  <c r="B293" i="6" s="1"/>
  <c r="P272" i="6"/>
  <c r="P278" i="6"/>
  <c r="P280" i="6"/>
  <c r="P282" i="6"/>
  <c r="L306" i="6"/>
  <c r="E322" i="6"/>
  <c r="B324" i="6" s="1"/>
  <c r="B326" i="6" s="1"/>
  <c r="I307" i="6" s="1"/>
  <c r="H286" i="6"/>
  <c r="F304" i="6"/>
  <c r="L277" i="6"/>
  <c r="L308" i="6"/>
  <c r="P246" i="6"/>
  <c r="P243" i="6"/>
  <c r="P245" i="6"/>
  <c r="P239" i="6"/>
  <c r="P241" i="6"/>
  <c r="P244" i="6"/>
  <c r="P242" i="6"/>
  <c r="P210" i="6"/>
  <c r="S210" i="6" s="1"/>
  <c r="H187" i="6"/>
  <c r="H190" i="6"/>
  <c r="P178" i="6"/>
  <c r="P171" i="6"/>
  <c r="H158" i="6"/>
  <c r="P142" i="6"/>
  <c r="H157" i="6"/>
  <c r="P139" i="6"/>
  <c r="P207" i="6"/>
  <c r="H217" i="6"/>
  <c r="P143" i="6"/>
  <c r="H153" i="6"/>
  <c r="H189" i="6"/>
  <c r="P179" i="6"/>
  <c r="P181" i="6"/>
  <c r="H191" i="6"/>
  <c r="H224" i="6"/>
  <c r="P214" i="6"/>
  <c r="P203" i="6"/>
  <c r="P235" i="6"/>
  <c r="H154" i="6"/>
  <c r="P144" i="6"/>
  <c r="H159" i="6"/>
  <c r="P149" i="6"/>
  <c r="H160" i="6"/>
  <c r="P150" i="6"/>
  <c r="P175" i="6"/>
  <c r="H185" i="6"/>
  <c r="H186" i="6"/>
  <c r="P176" i="6"/>
  <c r="H155" i="6"/>
  <c r="P145" i="6"/>
  <c r="P182" i="6"/>
  <c r="H192" i="6"/>
  <c r="H221" i="6"/>
  <c r="P211" i="6"/>
  <c r="H223" i="6"/>
  <c r="P213" i="6"/>
  <c r="H146" i="6"/>
  <c r="H156" i="6"/>
  <c r="S212" i="6"/>
  <c r="P138" i="6"/>
  <c r="L142" i="6"/>
  <c r="P146" i="6"/>
  <c r="P148" i="6"/>
  <c r="L172" i="6"/>
  <c r="P180" i="6"/>
  <c r="H188" i="6"/>
  <c r="L205" i="6"/>
  <c r="H216" i="6"/>
  <c r="H220" i="6"/>
  <c r="B221" i="6"/>
  <c r="H222" i="6"/>
  <c r="F234" i="6"/>
  <c r="H242" i="6"/>
  <c r="H152" i="6"/>
  <c r="F170" i="6"/>
  <c r="P177" i="6"/>
  <c r="F205" i="6"/>
  <c r="P202" i="6" s="1"/>
  <c r="P206" i="6"/>
  <c r="H208" i="6"/>
  <c r="L208" i="6" s="1"/>
  <c r="L238" i="6"/>
  <c r="E252" i="6"/>
  <c r="B254" i="6" s="1"/>
  <c r="L140" i="6"/>
  <c r="P147" i="6"/>
  <c r="L174" i="6"/>
  <c r="E188" i="6"/>
  <c r="B190" i="6" s="1"/>
  <c r="B191" i="6" s="1"/>
  <c r="E220" i="6"/>
  <c r="B222" i="6" s="1"/>
  <c r="B223" i="6" s="1"/>
  <c r="E156" i="6"/>
  <c r="B158" i="6" s="1"/>
  <c r="B159" i="6" s="1"/>
  <c r="P208" i="6"/>
  <c r="P74" i="6"/>
  <c r="S74" i="6" s="1"/>
  <c r="H92" i="6"/>
  <c r="P82" i="6"/>
  <c r="H89" i="6"/>
  <c r="P79" i="6"/>
  <c r="P80" i="6"/>
  <c r="H90" i="6"/>
  <c r="Q74" i="6"/>
  <c r="H94" i="6"/>
  <c r="P84" i="6"/>
  <c r="H93" i="6"/>
  <c r="P83" i="6"/>
  <c r="H95" i="6"/>
  <c r="P85" i="6"/>
  <c r="L75" i="6"/>
  <c r="P77" i="6"/>
  <c r="H79" i="6"/>
  <c r="L79" i="6" s="1"/>
  <c r="E91" i="6"/>
  <c r="B93" i="6" s="1"/>
  <c r="B94" i="6" s="1"/>
  <c r="F74" i="6"/>
  <c r="P81" i="6"/>
  <c r="C92" i="6"/>
  <c r="P48" i="6"/>
  <c r="P51" i="6"/>
  <c r="P42" i="6"/>
  <c r="F41" i="6"/>
  <c r="H55" i="6" s="1"/>
  <c r="I45" i="6"/>
  <c r="J45" i="6" s="1"/>
  <c r="H49" i="6"/>
  <c r="L45" i="6"/>
  <c r="E59" i="6"/>
  <c r="B61" i="6" s="1"/>
  <c r="B63" i="6" s="1"/>
  <c r="I44" i="6" s="1"/>
  <c r="D62" i="6"/>
  <c r="I43" i="6" s="1"/>
  <c r="J43" i="6" s="1"/>
  <c r="P9" i="6"/>
  <c r="E113" i="6"/>
  <c r="F113" i="6" s="1"/>
  <c r="P16" i="6"/>
  <c r="S16" i="6" s="1"/>
  <c r="H29" i="6"/>
  <c r="H30" i="6"/>
  <c r="H27" i="6"/>
  <c r="P18" i="6"/>
  <c r="S18" i="6" s="1"/>
  <c r="P13" i="6"/>
  <c r="Q212" i="6" s="1"/>
  <c r="E118" i="6"/>
  <c r="F118" i="6" s="1"/>
  <c r="P10" i="6"/>
  <c r="P17" i="6"/>
  <c r="S17" i="6" s="1"/>
  <c r="H28" i="6"/>
  <c r="H25" i="6"/>
  <c r="P19" i="6"/>
  <c r="S19" i="6" s="1"/>
  <c r="E110" i="6"/>
  <c r="F110" i="6" s="1"/>
  <c r="E119" i="6"/>
  <c r="F119" i="6" s="1"/>
  <c r="P15" i="6"/>
  <c r="S15" i="6" s="1"/>
  <c r="E109" i="6"/>
  <c r="F109" i="6" s="1"/>
  <c r="P14" i="6"/>
  <c r="S14" i="6" s="1"/>
  <c r="H31" i="6"/>
  <c r="P21" i="6"/>
  <c r="S21" i="6" s="1"/>
  <c r="E107" i="6"/>
  <c r="F107" i="6" s="1"/>
  <c r="E111" i="6"/>
  <c r="F111" i="6" s="1"/>
  <c r="E114" i="6"/>
  <c r="F114" i="6" s="1"/>
  <c r="E116" i="6"/>
  <c r="F116" i="6" s="1"/>
  <c r="E121" i="6"/>
  <c r="F121" i="6" s="1"/>
  <c r="E122" i="6"/>
  <c r="F122" i="6" s="1"/>
  <c r="H17" i="6"/>
  <c r="H15" i="6"/>
  <c r="L15" i="6" s="1"/>
  <c r="P20" i="6"/>
  <c r="H23" i="6"/>
  <c r="H24" i="6"/>
  <c r="E27" i="6"/>
  <c r="B29" i="6" s="1"/>
  <c r="H26" i="6"/>
  <c r="L12" i="6"/>
  <c r="E108" i="6"/>
  <c r="F108" i="6" s="1"/>
  <c r="H113" i="6"/>
  <c r="E115" i="6"/>
  <c r="F115" i="6" s="1"/>
  <c r="E117" i="6"/>
  <c r="F117" i="6" s="1"/>
  <c r="L108" i="6"/>
  <c r="E112" i="6"/>
  <c r="F112" i="6" s="1"/>
  <c r="E120" i="6"/>
  <c r="F120" i="6" s="1"/>
  <c r="Q142" i="6" l="1"/>
  <c r="H81" i="6"/>
  <c r="I238" i="6"/>
  <c r="J238" i="6" s="1"/>
  <c r="I268" i="6"/>
  <c r="Q139" i="6"/>
  <c r="D325" i="7"/>
  <c r="I306" i="7" s="1"/>
  <c r="J306" i="7" s="1"/>
  <c r="B224" i="7"/>
  <c r="I205" i="7" s="1"/>
  <c r="J205" i="7" s="1"/>
  <c r="I142" i="7"/>
  <c r="J142" i="7" s="1"/>
  <c r="I109" i="7"/>
  <c r="J109" i="7" s="1"/>
  <c r="I77" i="7"/>
  <c r="J77" i="7" s="1"/>
  <c r="D94" i="7"/>
  <c r="I75" i="7" s="1"/>
  <c r="J75" i="7" s="1"/>
  <c r="B192" i="7"/>
  <c r="I173" i="7" s="1"/>
  <c r="J173" i="7" s="1"/>
  <c r="D30" i="7"/>
  <c r="I11" i="7" s="1"/>
  <c r="J11" i="7" s="1"/>
  <c r="B31" i="7"/>
  <c r="I12" i="7" s="1"/>
  <c r="J12" i="7" s="1"/>
  <c r="J307" i="7"/>
  <c r="K269" i="7"/>
  <c r="I236" i="7"/>
  <c r="J236" i="7" s="1"/>
  <c r="H289" i="7"/>
  <c r="P279" i="7"/>
  <c r="Q202" i="7"/>
  <c r="S202" i="7"/>
  <c r="H154" i="7"/>
  <c r="P144" i="7"/>
  <c r="S9" i="7"/>
  <c r="Q9" i="7"/>
  <c r="S149" i="7"/>
  <c r="S146" i="7"/>
  <c r="S209" i="7"/>
  <c r="S148" i="7"/>
  <c r="S84" i="7"/>
  <c r="S203" i="7"/>
  <c r="Q203" i="7"/>
  <c r="I174" i="7"/>
  <c r="J174" i="7" s="1"/>
  <c r="I143" i="7"/>
  <c r="J143" i="7" s="1"/>
  <c r="I175" i="7"/>
  <c r="J175" i="7" s="1"/>
  <c r="I13" i="7"/>
  <c r="J13" i="7" s="1"/>
  <c r="S208" i="7"/>
  <c r="S17" i="7"/>
  <c r="S83" i="7"/>
  <c r="S73" i="7"/>
  <c r="Q73" i="7"/>
  <c r="P138" i="7"/>
  <c r="P142" i="7"/>
  <c r="H152" i="7"/>
  <c r="I81" i="7"/>
  <c r="B62" i="7"/>
  <c r="I46" i="7"/>
  <c r="J46" i="7" s="1"/>
  <c r="S13" i="7"/>
  <c r="S214" i="7"/>
  <c r="S78" i="7"/>
  <c r="S18" i="7"/>
  <c r="S283" i="7"/>
  <c r="S213" i="7"/>
  <c r="S85" i="7"/>
  <c r="B160" i="7"/>
  <c r="I141" i="7" s="1"/>
  <c r="I308" i="7"/>
  <c r="J308" i="7" s="1"/>
  <c r="B127" i="7"/>
  <c r="I108" i="7" s="1"/>
  <c r="D293" i="7"/>
  <c r="I274" i="7" s="1"/>
  <c r="J274" i="7" s="1"/>
  <c r="I78" i="7"/>
  <c r="J78" i="7" s="1"/>
  <c r="D223" i="7"/>
  <c r="I204" i="7" s="1"/>
  <c r="J204" i="7" s="1"/>
  <c r="Q10" i="7"/>
  <c r="S81" i="7"/>
  <c r="S282" i="7"/>
  <c r="P277" i="7"/>
  <c r="H287" i="7"/>
  <c r="I113" i="7"/>
  <c r="I280" i="7"/>
  <c r="H55" i="7"/>
  <c r="P45" i="7"/>
  <c r="P41" i="7"/>
  <c r="B255" i="7"/>
  <c r="I268" i="7"/>
  <c r="I239" i="7"/>
  <c r="J239" i="7" s="1"/>
  <c r="S210" i="7"/>
  <c r="I146" i="7"/>
  <c r="P109" i="7"/>
  <c r="Q47" i="7" s="1"/>
  <c r="P105" i="7"/>
  <c r="Q235" i="7" s="1"/>
  <c r="S278" i="7"/>
  <c r="S150" i="7"/>
  <c r="H17" i="7"/>
  <c r="L15" i="7"/>
  <c r="S207" i="7"/>
  <c r="I17" i="7"/>
  <c r="I206" i="7"/>
  <c r="J206" i="7" s="1"/>
  <c r="H210" i="7"/>
  <c r="B95" i="7"/>
  <c r="I76" i="7" s="1"/>
  <c r="B63" i="7"/>
  <c r="I44" i="7" s="1"/>
  <c r="B294" i="7"/>
  <c r="I275" i="7" s="1"/>
  <c r="H146" i="7"/>
  <c r="D159" i="7"/>
  <c r="I140" i="7" s="1"/>
  <c r="J140" i="7" s="1"/>
  <c r="I207" i="7"/>
  <c r="J207" i="7" s="1"/>
  <c r="Q74" i="7"/>
  <c r="I277" i="7"/>
  <c r="J277" i="7" s="1"/>
  <c r="I238" i="7"/>
  <c r="J238" i="7" s="1"/>
  <c r="D191" i="7"/>
  <c r="I172" i="7" s="1"/>
  <c r="J172" i="7" s="1"/>
  <c r="B256" i="7"/>
  <c r="S212" i="7"/>
  <c r="I210" i="7"/>
  <c r="I178" i="7"/>
  <c r="S147" i="7"/>
  <c r="S79" i="7"/>
  <c r="I309" i="7"/>
  <c r="J309" i="7" s="1"/>
  <c r="B325" i="7"/>
  <c r="S280" i="7"/>
  <c r="S206" i="7"/>
  <c r="H184" i="7"/>
  <c r="P174" i="7"/>
  <c r="P170" i="7"/>
  <c r="S80" i="7"/>
  <c r="S20" i="7"/>
  <c r="S15" i="7"/>
  <c r="Q273" i="7"/>
  <c r="S273" i="7"/>
  <c r="S281" i="7"/>
  <c r="S82" i="7"/>
  <c r="S19" i="7"/>
  <c r="S21" i="7"/>
  <c r="P16" i="7"/>
  <c r="Q209" i="7" s="1"/>
  <c r="H26" i="7"/>
  <c r="Q139" i="7"/>
  <c r="S139" i="7"/>
  <c r="Q211" i="7"/>
  <c r="S211" i="7"/>
  <c r="S284" i="7"/>
  <c r="P272" i="7"/>
  <c r="I110" i="7"/>
  <c r="J110" i="7" s="1"/>
  <c r="I276" i="7"/>
  <c r="J276" i="7" s="1"/>
  <c r="D126" i="7"/>
  <c r="I107" i="7" s="1"/>
  <c r="J107" i="7" s="1"/>
  <c r="I45" i="7"/>
  <c r="J45" i="7" s="1"/>
  <c r="Q178" i="7"/>
  <c r="I14" i="7"/>
  <c r="J14" i="7" s="1"/>
  <c r="D325" i="6"/>
  <c r="I306" i="6" s="1"/>
  <c r="J306" i="6" s="1"/>
  <c r="Q273" i="6"/>
  <c r="I308" i="6"/>
  <c r="J308" i="6" s="1"/>
  <c r="B294" i="6"/>
  <c r="I275" i="6" s="1"/>
  <c r="J275" i="6" s="1"/>
  <c r="J307" i="6"/>
  <c r="S272" i="6"/>
  <c r="Q272" i="6"/>
  <c r="Q281" i="6"/>
  <c r="S281" i="6"/>
  <c r="D293" i="6"/>
  <c r="I274" i="6" s="1"/>
  <c r="J274" i="6" s="1"/>
  <c r="I277" i="6"/>
  <c r="J277" i="6" s="1"/>
  <c r="S278" i="6"/>
  <c r="Q278" i="6"/>
  <c r="Q283" i="6"/>
  <c r="S283" i="6"/>
  <c r="Q276" i="6"/>
  <c r="S276" i="6"/>
  <c r="Q277" i="6"/>
  <c r="S277" i="6"/>
  <c r="I276" i="6"/>
  <c r="J276" i="6" s="1"/>
  <c r="S282" i="6"/>
  <c r="Q282" i="6"/>
  <c r="P308" i="6"/>
  <c r="P304" i="6"/>
  <c r="B325" i="6"/>
  <c r="I309" i="6"/>
  <c r="J309" i="6" s="1"/>
  <c r="S280" i="6"/>
  <c r="Q280" i="6"/>
  <c r="I280" i="6"/>
  <c r="Q284" i="6"/>
  <c r="S284" i="6"/>
  <c r="S279" i="6"/>
  <c r="Q279" i="6"/>
  <c r="Q210" i="6"/>
  <c r="S142" i="6"/>
  <c r="B224" i="6"/>
  <c r="I205" i="6" s="1"/>
  <c r="J205" i="6" s="1"/>
  <c r="S139" i="6"/>
  <c r="D159" i="6"/>
  <c r="I140" i="6" s="1"/>
  <c r="J140" i="6" s="1"/>
  <c r="I142" i="6"/>
  <c r="J142" i="6" s="1"/>
  <c r="Q202" i="6"/>
  <c r="S202" i="6"/>
  <c r="S206" i="6"/>
  <c r="Q206" i="6"/>
  <c r="H184" i="6"/>
  <c r="P174" i="6"/>
  <c r="P170" i="6"/>
  <c r="P238" i="6"/>
  <c r="P234" i="6"/>
  <c r="Q144" i="6"/>
  <c r="S144" i="6"/>
  <c r="Q207" i="6"/>
  <c r="S207" i="6"/>
  <c r="I143" i="6"/>
  <c r="J143" i="6" s="1"/>
  <c r="D191" i="6"/>
  <c r="I172" i="6" s="1"/>
  <c r="J172" i="6" s="1"/>
  <c r="I146" i="6"/>
  <c r="Q208" i="6"/>
  <c r="S208" i="6"/>
  <c r="I210" i="6"/>
  <c r="Q147" i="6"/>
  <c r="S147" i="6"/>
  <c r="Q146" i="6"/>
  <c r="S146" i="6"/>
  <c r="S211" i="6"/>
  <c r="Q211" i="6"/>
  <c r="Q145" i="6"/>
  <c r="S145" i="6"/>
  <c r="Q203" i="6"/>
  <c r="S203" i="6"/>
  <c r="B192" i="6"/>
  <c r="I173" i="6" s="1"/>
  <c r="I174" i="6"/>
  <c r="J174" i="6" s="1"/>
  <c r="I175" i="6"/>
  <c r="J175" i="6" s="1"/>
  <c r="I207" i="6"/>
  <c r="J207" i="6" s="1"/>
  <c r="I206" i="6"/>
  <c r="J206" i="6" s="1"/>
  <c r="Q148" i="6"/>
  <c r="S148" i="6"/>
  <c r="Q138" i="6"/>
  <c r="S138" i="6"/>
  <c r="S150" i="6"/>
  <c r="Q150" i="6"/>
  <c r="Q149" i="6"/>
  <c r="S149" i="6"/>
  <c r="Q143" i="6"/>
  <c r="S143" i="6"/>
  <c r="H210" i="6"/>
  <c r="B160" i="6"/>
  <c r="I141" i="6" s="1"/>
  <c r="D223" i="6"/>
  <c r="I204" i="6" s="1"/>
  <c r="J204" i="6" s="1"/>
  <c r="I178" i="6"/>
  <c r="B255" i="6"/>
  <c r="I269" i="6" s="1"/>
  <c r="I239" i="6"/>
  <c r="J239" i="6" s="1"/>
  <c r="P209" i="6"/>
  <c r="H219" i="6"/>
  <c r="S213" i="6"/>
  <c r="Q213" i="6"/>
  <c r="Q214" i="6"/>
  <c r="S214" i="6"/>
  <c r="B256" i="6"/>
  <c r="D255" i="6"/>
  <c r="Q83" i="6"/>
  <c r="S83" i="6"/>
  <c r="Q80" i="6"/>
  <c r="S80" i="6"/>
  <c r="I78" i="6"/>
  <c r="J78" i="6" s="1"/>
  <c r="I81" i="6"/>
  <c r="P78" i="6"/>
  <c r="H88" i="6"/>
  <c r="Q81" i="6"/>
  <c r="S81" i="6"/>
  <c r="Q85" i="6"/>
  <c r="S85" i="6"/>
  <c r="Q82" i="6"/>
  <c r="S82" i="6"/>
  <c r="I77" i="6"/>
  <c r="J77" i="6" s="1"/>
  <c r="B95" i="6"/>
  <c r="I76" i="6" s="1"/>
  <c r="Q84" i="6"/>
  <c r="S84" i="6"/>
  <c r="S77" i="6"/>
  <c r="Q77" i="6"/>
  <c r="Q79" i="6"/>
  <c r="S79" i="6"/>
  <c r="P73" i="6"/>
  <c r="D94" i="6"/>
  <c r="I75" i="6" s="1"/>
  <c r="J75" i="6" s="1"/>
  <c r="J44" i="6"/>
  <c r="B62" i="6"/>
  <c r="I46" i="6"/>
  <c r="J46" i="6" s="1"/>
  <c r="P45" i="6"/>
  <c r="P41" i="6"/>
  <c r="P111" i="6"/>
  <c r="P117" i="6"/>
  <c r="P116" i="6"/>
  <c r="F123" i="6"/>
  <c r="P113" i="6"/>
  <c r="Q16" i="6"/>
  <c r="Q9" i="6"/>
  <c r="D123" i="6"/>
  <c r="D124" i="6" s="1"/>
  <c r="S9" i="6"/>
  <c r="S13" i="6"/>
  <c r="P114" i="6"/>
  <c r="S10" i="6"/>
  <c r="Q10" i="6"/>
  <c r="P112" i="6"/>
  <c r="Q21" i="6"/>
  <c r="P115" i="6"/>
  <c r="Q18" i="6"/>
  <c r="C123" i="6"/>
  <c r="C124" i="6" s="1"/>
  <c r="E105" i="6"/>
  <c r="Q19" i="6"/>
  <c r="B123" i="6"/>
  <c r="B124" i="6" s="1"/>
  <c r="P106" i="6"/>
  <c r="E106" i="6"/>
  <c r="F106" i="6" s="1"/>
  <c r="P110" i="6" s="1"/>
  <c r="Q14" i="6"/>
  <c r="B31" i="6"/>
  <c r="I12" i="6" s="1"/>
  <c r="I13" i="6"/>
  <c r="J13" i="6" s="1"/>
  <c r="B30" i="6"/>
  <c r="D30" i="6"/>
  <c r="I11" i="6" s="1"/>
  <c r="J11" i="6" s="1"/>
  <c r="I14" i="6"/>
  <c r="J14" i="6" s="1"/>
  <c r="S20" i="6"/>
  <c r="Q20" i="6"/>
  <c r="Q17" i="6"/>
  <c r="Q13" i="6"/>
  <c r="Q15" i="6"/>
  <c r="L28" i="5"/>
  <c r="M28" i="5"/>
  <c r="N28" i="5"/>
  <c r="L29" i="5"/>
  <c r="M29" i="5"/>
  <c r="N29" i="5"/>
  <c r="L30" i="5"/>
  <c r="M30" i="5"/>
  <c r="N30" i="5"/>
  <c r="L31" i="5"/>
  <c r="M31" i="5"/>
  <c r="N31" i="5"/>
  <c r="L32" i="5"/>
  <c r="M32" i="5"/>
  <c r="N32" i="5"/>
  <c r="L33" i="5"/>
  <c r="M33" i="5"/>
  <c r="N33" i="5"/>
  <c r="L34" i="5"/>
  <c r="M34" i="5"/>
  <c r="N34" i="5"/>
  <c r="L35" i="5"/>
  <c r="M35" i="5"/>
  <c r="N35" i="5"/>
  <c r="L36" i="5"/>
  <c r="M36" i="5"/>
  <c r="N36" i="5"/>
  <c r="L37" i="5"/>
  <c r="M37" i="5"/>
  <c r="N37" i="5"/>
  <c r="L38" i="5"/>
  <c r="M38" i="5"/>
  <c r="N38" i="5"/>
  <c r="L39" i="5"/>
  <c r="M39" i="5"/>
  <c r="N39" i="5"/>
  <c r="L40" i="5"/>
  <c r="M40" i="5"/>
  <c r="N40" i="5"/>
  <c r="L41" i="5"/>
  <c r="M41" i="5"/>
  <c r="N41" i="5"/>
  <c r="L42" i="5"/>
  <c r="M42" i="5"/>
  <c r="N42" i="5"/>
  <c r="L43" i="5"/>
  <c r="M43" i="5"/>
  <c r="N43" i="5"/>
  <c r="L44" i="5"/>
  <c r="M44" i="5"/>
  <c r="N44" i="5"/>
  <c r="M27" i="5"/>
  <c r="N27" i="5"/>
  <c r="L27" i="5"/>
  <c r="D28" i="5"/>
  <c r="E28" i="5"/>
  <c r="F28" i="5"/>
  <c r="D29" i="5"/>
  <c r="E29" i="5"/>
  <c r="F29" i="5"/>
  <c r="D30" i="5"/>
  <c r="E30" i="5"/>
  <c r="F30" i="5"/>
  <c r="D31" i="5"/>
  <c r="E31" i="5"/>
  <c r="F31" i="5"/>
  <c r="D32" i="5"/>
  <c r="E32" i="5"/>
  <c r="F32" i="5"/>
  <c r="D33" i="5"/>
  <c r="E33" i="5"/>
  <c r="F33" i="5"/>
  <c r="D34" i="5"/>
  <c r="E34" i="5"/>
  <c r="F34" i="5"/>
  <c r="D35" i="5"/>
  <c r="E35" i="5"/>
  <c r="F35" i="5"/>
  <c r="D36" i="5"/>
  <c r="E36" i="5"/>
  <c r="F36" i="5"/>
  <c r="D37" i="5"/>
  <c r="E37" i="5"/>
  <c r="F37" i="5"/>
  <c r="D38" i="5"/>
  <c r="E38" i="5"/>
  <c r="F38" i="5"/>
  <c r="D39" i="5"/>
  <c r="E39" i="5"/>
  <c r="F39" i="5"/>
  <c r="D40" i="5"/>
  <c r="E40" i="5"/>
  <c r="F40" i="5"/>
  <c r="D41" i="5"/>
  <c r="E41" i="5"/>
  <c r="F41" i="5"/>
  <c r="D42" i="5"/>
  <c r="E42" i="5"/>
  <c r="F42" i="5"/>
  <c r="D43" i="5"/>
  <c r="E43" i="5"/>
  <c r="F43" i="5"/>
  <c r="D44" i="5"/>
  <c r="E44" i="5"/>
  <c r="F44" i="5"/>
  <c r="E27" i="5"/>
  <c r="F27" i="5"/>
  <c r="D27" i="5"/>
  <c r="H8" i="5"/>
  <c r="I8" i="5"/>
  <c r="J8" i="5"/>
  <c r="H9" i="5"/>
  <c r="I9" i="5"/>
  <c r="J9" i="5"/>
  <c r="H10" i="5"/>
  <c r="I10" i="5"/>
  <c r="J10" i="5"/>
  <c r="H11" i="5"/>
  <c r="I11" i="5"/>
  <c r="J11" i="5"/>
  <c r="H12" i="5"/>
  <c r="I12" i="5"/>
  <c r="J12" i="5"/>
  <c r="H13" i="5"/>
  <c r="I13" i="5"/>
  <c r="J13" i="5"/>
  <c r="H14" i="5"/>
  <c r="I14" i="5"/>
  <c r="J14" i="5"/>
  <c r="H15" i="5"/>
  <c r="I15" i="5"/>
  <c r="J15" i="5"/>
  <c r="H16" i="5"/>
  <c r="I16" i="5"/>
  <c r="J16" i="5"/>
  <c r="H17" i="5"/>
  <c r="I17" i="5"/>
  <c r="J17" i="5"/>
  <c r="H18" i="5"/>
  <c r="I18" i="5"/>
  <c r="J18" i="5"/>
  <c r="H19" i="5"/>
  <c r="I19" i="5"/>
  <c r="J19" i="5"/>
  <c r="H20" i="5"/>
  <c r="I20" i="5"/>
  <c r="J20" i="5"/>
  <c r="H21" i="5"/>
  <c r="I21" i="5"/>
  <c r="J21" i="5"/>
  <c r="H22" i="5"/>
  <c r="I22" i="5"/>
  <c r="J22" i="5"/>
  <c r="H23" i="5"/>
  <c r="I23" i="5"/>
  <c r="J23" i="5"/>
  <c r="H24" i="5"/>
  <c r="I24" i="5"/>
  <c r="J24" i="5"/>
  <c r="I7" i="5"/>
  <c r="J7" i="5"/>
  <c r="H7" i="5"/>
  <c r="R21" i="5" l="1"/>
  <c r="AP21" i="5"/>
  <c r="C89" i="13" s="1"/>
  <c r="AC21" i="5"/>
  <c r="C55" i="13" s="1"/>
  <c r="S14" i="5"/>
  <c r="AQ14" i="5"/>
  <c r="D82" i="13" s="1"/>
  <c r="AD14" i="5"/>
  <c r="D48" i="13" s="1"/>
  <c r="R9" i="5"/>
  <c r="AP9" i="5"/>
  <c r="C77" i="13" s="1"/>
  <c r="AC9" i="5"/>
  <c r="C43" i="13" s="1"/>
  <c r="S24" i="5"/>
  <c r="AD24" i="5"/>
  <c r="D58" i="13" s="1"/>
  <c r="AQ24" i="5"/>
  <c r="D92" i="13" s="1"/>
  <c r="Q22" i="5"/>
  <c r="AB22" i="5"/>
  <c r="B56" i="13" s="1"/>
  <c r="AO22" i="5"/>
  <c r="B90" i="13" s="1"/>
  <c r="S20" i="5"/>
  <c r="AQ20" i="5"/>
  <c r="D88" i="13" s="1"/>
  <c r="AD20" i="5"/>
  <c r="D54" i="13" s="1"/>
  <c r="Q18" i="5"/>
  <c r="AB18" i="5"/>
  <c r="B52" i="13" s="1"/>
  <c r="AO18" i="5"/>
  <c r="B86" i="13" s="1"/>
  <c r="S16" i="5"/>
  <c r="AD16" i="5"/>
  <c r="D50" i="13" s="1"/>
  <c r="AQ16" i="5"/>
  <c r="D84" i="13" s="1"/>
  <c r="Q14" i="5"/>
  <c r="AB14" i="5"/>
  <c r="B48" i="13" s="1"/>
  <c r="AO14" i="5"/>
  <c r="B82" i="13" s="1"/>
  <c r="R11" i="5"/>
  <c r="AC11" i="5"/>
  <c r="C45" i="13" s="1"/>
  <c r="AP11" i="5"/>
  <c r="C79" i="13" s="1"/>
  <c r="Q10" i="5"/>
  <c r="AO10" i="5"/>
  <c r="B78" i="13" s="1"/>
  <c r="AB10" i="5"/>
  <c r="B44" i="13" s="1"/>
  <c r="I237" i="6"/>
  <c r="I270" i="6"/>
  <c r="Q7" i="5"/>
  <c r="AO7" i="5"/>
  <c r="B75" i="13" s="1"/>
  <c r="AB7" i="5"/>
  <c r="B41" i="13" s="1"/>
  <c r="R24" i="5"/>
  <c r="AP24" i="5"/>
  <c r="C92" i="13" s="1"/>
  <c r="AC24" i="5"/>
  <c r="C58" i="13" s="1"/>
  <c r="Q23" i="5"/>
  <c r="AO23" i="5"/>
  <c r="B91" i="13" s="1"/>
  <c r="AB23" i="5"/>
  <c r="B57" i="13" s="1"/>
  <c r="S21" i="5"/>
  <c r="AD21" i="5"/>
  <c r="D55" i="13" s="1"/>
  <c r="AQ21" i="5"/>
  <c r="D89" i="13" s="1"/>
  <c r="R20" i="5"/>
  <c r="AP20" i="5"/>
  <c r="C88" i="13" s="1"/>
  <c r="AC20" i="5"/>
  <c r="C54" i="13" s="1"/>
  <c r="Q19" i="5"/>
  <c r="AO19" i="5"/>
  <c r="B87" i="13" s="1"/>
  <c r="AB19" i="5"/>
  <c r="B53" i="13" s="1"/>
  <c r="S17" i="5"/>
  <c r="AQ17" i="5"/>
  <c r="D85" i="13" s="1"/>
  <c r="AD17" i="5"/>
  <c r="D51" i="13" s="1"/>
  <c r="R16" i="5"/>
  <c r="AC16" i="5"/>
  <c r="C50" i="13" s="1"/>
  <c r="AP16" i="5"/>
  <c r="C84" i="13" s="1"/>
  <c r="Q15" i="5"/>
  <c r="AO15" i="5"/>
  <c r="B83" i="13" s="1"/>
  <c r="AB15" i="5"/>
  <c r="B49" i="13" s="1"/>
  <c r="S13" i="5"/>
  <c r="AQ13" i="5"/>
  <c r="D81" i="13" s="1"/>
  <c r="AD13" i="5"/>
  <c r="D47" i="13" s="1"/>
  <c r="R12" i="5"/>
  <c r="AP12" i="5"/>
  <c r="C80" i="13" s="1"/>
  <c r="AC12" i="5"/>
  <c r="C46" i="13" s="1"/>
  <c r="Q11" i="5"/>
  <c r="AB11" i="5"/>
  <c r="B45" i="13" s="1"/>
  <c r="AO11" i="5"/>
  <c r="B79" i="13" s="1"/>
  <c r="S9" i="5"/>
  <c r="AQ9" i="5"/>
  <c r="D77" i="13" s="1"/>
  <c r="AD9" i="5"/>
  <c r="D43" i="13" s="1"/>
  <c r="R8" i="5"/>
  <c r="AP8" i="5"/>
  <c r="C76" i="13" s="1"/>
  <c r="AC8" i="5"/>
  <c r="C42" i="13" s="1"/>
  <c r="Q24" i="5"/>
  <c r="AB24" i="5"/>
  <c r="B58" i="13" s="1"/>
  <c r="E58" i="13" s="1"/>
  <c r="F58" i="13" s="1"/>
  <c r="AO24" i="5"/>
  <c r="B92" i="13" s="1"/>
  <c r="E92" i="13" s="1"/>
  <c r="F92" i="13" s="1"/>
  <c r="R17" i="5"/>
  <c r="AC17" i="5"/>
  <c r="C51" i="13" s="1"/>
  <c r="AP17" i="5"/>
  <c r="C85" i="13" s="1"/>
  <c r="S10" i="5"/>
  <c r="AQ10" i="5"/>
  <c r="D78" i="13" s="1"/>
  <c r="AD10" i="5"/>
  <c r="D44" i="13" s="1"/>
  <c r="S7" i="5"/>
  <c r="AQ7" i="5"/>
  <c r="D75" i="13" s="1"/>
  <c r="AD7" i="5"/>
  <c r="D41" i="13" s="1"/>
  <c r="Q20" i="5"/>
  <c r="AO20" i="5"/>
  <c r="B88" i="13" s="1"/>
  <c r="E88" i="13" s="1"/>
  <c r="F88" i="13" s="1"/>
  <c r="AB20" i="5"/>
  <c r="B54" i="13" s="1"/>
  <c r="E54" i="13" s="1"/>
  <c r="F54" i="13" s="1"/>
  <c r="Q16" i="5"/>
  <c r="AO16" i="5"/>
  <c r="B84" i="13" s="1"/>
  <c r="E84" i="13" s="1"/>
  <c r="F84" i="13" s="1"/>
  <c r="AB16" i="5"/>
  <c r="B50" i="13" s="1"/>
  <c r="E50" i="13" s="1"/>
  <c r="F50" i="13" s="1"/>
  <c r="Q12" i="5"/>
  <c r="AB12" i="5"/>
  <c r="B46" i="13" s="1"/>
  <c r="AO12" i="5"/>
  <c r="B80" i="13" s="1"/>
  <c r="R7" i="5"/>
  <c r="AC7" i="5"/>
  <c r="C41" i="13" s="1"/>
  <c r="AP7" i="5"/>
  <c r="C75" i="13" s="1"/>
  <c r="S23" i="5"/>
  <c r="AQ23" i="5"/>
  <c r="D91" i="13" s="1"/>
  <c r="AD23" i="5"/>
  <c r="D57" i="13" s="1"/>
  <c r="R22" i="5"/>
  <c r="AP22" i="5"/>
  <c r="C90" i="13" s="1"/>
  <c r="AC22" i="5"/>
  <c r="C56" i="13" s="1"/>
  <c r="Q21" i="5"/>
  <c r="AO21" i="5"/>
  <c r="B89" i="13" s="1"/>
  <c r="E89" i="13" s="1"/>
  <c r="F89" i="13" s="1"/>
  <c r="AB21" i="5"/>
  <c r="B55" i="13" s="1"/>
  <c r="E55" i="13" s="1"/>
  <c r="F55" i="13" s="1"/>
  <c r="S19" i="5"/>
  <c r="AQ19" i="5"/>
  <c r="D87" i="13" s="1"/>
  <c r="AD19" i="5"/>
  <c r="D53" i="13" s="1"/>
  <c r="R18" i="5"/>
  <c r="AP18" i="5"/>
  <c r="C86" i="13" s="1"/>
  <c r="AC18" i="5"/>
  <c r="C52" i="13" s="1"/>
  <c r="Q17" i="5"/>
  <c r="AO17" i="5"/>
  <c r="B85" i="13" s="1"/>
  <c r="E85" i="13" s="1"/>
  <c r="F85" i="13" s="1"/>
  <c r="AB17" i="5"/>
  <c r="B51" i="13" s="1"/>
  <c r="E51" i="13" s="1"/>
  <c r="F51" i="13" s="1"/>
  <c r="S15" i="5"/>
  <c r="AQ15" i="5"/>
  <c r="D83" i="13" s="1"/>
  <c r="AD15" i="5"/>
  <c r="D49" i="13" s="1"/>
  <c r="R14" i="5"/>
  <c r="AC14" i="5"/>
  <c r="C48" i="13" s="1"/>
  <c r="AP14" i="5"/>
  <c r="C82" i="13" s="1"/>
  <c r="Q13" i="5"/>
  <c r="AO13" i="5"/>
  <c r="B81" i="13" s="1"/>
  <c r="AB13" i="5"/>
  <c r="B47" i="13" s="1"/>
  <c r="S11" i="5"/>
  <c r="AQ11" i="5"/>
  <c r="D79" i="13" s="1"/>
  <c r="AD11" i="5"/>
  <c r="D45" i="13" s="1"/>
  <c r="R10" i="5"/>
  <c r="AP10" i="5"/>
  <c r="C78" i="13" s="1"/>
  <c r="AC10" i="5"/>
  <c r="C44" i="13" s="1"/>
  <c r="Q9" i="5"/>
  <c r="AB9" i="5"/>
  <c r="B43" i="13" s="1"/>
  <c r="AO9" i="5"/>
  <c r="B77" i="13" s="1"/>
  <c r="E77" i="13" s="1"/>
  <c r="F77" i="13" s="1"/>
  <c r="I236" i="6"/>
  <c r="J236" i="6" s="1"/>
  <c r="K269" i="6"/>
  <c r="Q170" i="7"/>
  <c r="S22" i="5"/>
  <c r="AD22" i="5"/>
  <c r="D56" i="13" s="1"/>
  <c r="AQ22" i="5"/>
  <c r="D90" i="13" s="1"/>
  <c r="S18" i="5"/>
  <c r="AD18" i="5"/>
  <c r="D52" i="13" s="1"/>
  <c r="AQ18" i="5"/>
  <c r="D86" i="13" s="1"/>
  <c r="R13" i="5"/>
  <c r="C15" i="13" s="1"/>
  <c r="AC13" i="5"/>
  <c r="C47" i="13" s="1"/>
  <c r="AP13" i="5"/>
  <c r="C81" i="13" s="1"/>
  <c r="Q8" i="5"/>
  <c r="AB8" i="5"/>
  <c r="B42" i="13" s="1"/>
  <c r="AO8" i="5"/>
  <c r="B76" i="13" s="1"/>
  <c r="R23" i="5"/>
  <c r="AC23" i="5"/>
  <c r="C57" i="13" s="1"/>
  <c r="AP23" i="5"/>
  <c r="C91" i="13" s="1"/>
  <c r="R19" i="5"/>
  <c r="AC19" i="5"/>
  <c r="C53" i="13" s="1"/>
  <c r="AP19" i="5"/>
  <c r="C87" i="13" s="1"/>
  <c r="R15" i="5"/>
  <c r="AP15" i="5"/>
  <c r="C83" i="13" s="1"/>
  <c r="AC15" i="5"/>
  <c r="C49" i="13" s="1"/>
  <c r="S12" i="5"/>
  <c r="AD12" i="5"/>
  <c r="D46" i="13" s="1"/>
  <c r="AQ12" i="5"/>
  <c r="D80" i="13" s="1"/>
  <c r="S8" i="5"/>
  <c r="AD8" i="5"/>
  <c r="D42" i="13" s="1"/>
  <c r="AQ8" i="5"/>
  <c r="D76" i="13" s="1"/>
  <c r="D9" i="13"/>
  <c r="D24" i="13"/>
  <c r="C23" i="13"/>
  <c r="D20" i="13"/>
  <c r="B18" i="13"/>
  <c r="D12" i="13"/>
  <c r="C11" i="13"/>
  <c r="B9" i="13"/>
  <c r="C26" i="13"/>
  <c r="B25" i="13"/>
  <c r="D23" i="13"/>
  <c r="C22" i="13"/>
  <c r="B21" i="13"/>
  <c r="D19" i="13"/>
  <c r="C18" i="13"/>
  <c r="B17" i="13"/>
  <c r="D15" i="13"/>
  <c r="C14" i="13"/>
  <c r="B13" i="13"/>
  <c r="D11" i="13"/>
  <c r="C10" i="13"/>
  <c r="D26" i="13"/>
  <c r="B24" i="13"/>
  <c r="B20" i="13"/>
  <c r="C17" i="13"/>
  <c r="D14" i="13"/>
  <c r="D10" i="13"/>
  <c r="C25" i="13"/>
  <c r="D22" i="13"/>
  <c r="C21" i="13"/>
  <c r="D18" i="13"/>
  <c r="B16" i="13"/>
  <c r="C13" i="13"/>
  <c r="B12" i="13"/>
  <c r="C9" i="13"/>
  <c r="D25" i="13"/>
  <c r="C24" i="13"/>
  <c r="B23" i="13"/>
  <c r="D21" i="13"/>
  <c r="C20" i="13"/>
  <c r="B19" i="13"/>
  <c r="D17" i="13"/>
  <c r="C16" i="13"/>
  <c r="B15" i="13"/>
  <c r="D13" i="13"/>
  <c r="C12" i="13"/>
  <c r="B11" i="13"/>
  <c r="B26" i="13"/>
  <c r="B22" i="13"/>
  <c r="C19" i="13"/>
  <c r="D16" i="13"/>
  <c r="B14" i="13"/>
  <c r="B10" i="13"/>
  <c r="U28" i="5"/>
  <c r="AA43" i="5"/>
  <c r="AE43" i="5"/>
  <c r="W43" i="5"/>
  <c r="Z42" i="5"/>
  <c r="V42" i="5"/>
  <c r="Y41" i="5"/>
  <c r="U41" i="5"/>
  <c r="AA39" i="5"/>
  <c r="W39" i="5"/>
  <c r="Z38" i="5"/>
  <c r="V38" i="5"/>
  <c r="AA35" i="5"/>
  <c r="W35" i="5"/>
  <c r="Z34" i="5"/>
  <c r="AD34" i="5" s="1"/>
  <c r="V34" i="5"/>
  <c r="Y33" i="5"/>
  <c r="U33" i="5"/>
  <c r="AA31" i="5"/>
  <c r="W31" i="5"/>
  <c r="Z30" i="5"/>
  <c r="V30" i="5"/>
  <c r="Y29" i="5"/>
  <c r="U29" i="5"/>
  <c r="V44" i="5"/>
  <c r="Z44" i="5"/>
  <c r="U43" i="5"/>
  <c r="Y43" i="5"/>
  <c r="W41" i="5"/>
  <c r="AA41" i="5"/>
  <c r="V40" i="5"/>
  <c r="Z40" i="5"/>
  <c r="U39" i="5"/>
  <c r="Y39" i="5"/>
  <c r="W37" i="5"/>
  <c r="AA37" i="5"/>
  <c r="Y37" i="5"/>
  <c r="U37" i="5"/>
  <c r="AA44" i="5"/>
  <c r="W44" i="5"/>
  <c r="Z43" i="5"/>
  <c r="V43" i="5"/>
  <c r="Y42" i="5"/>
  <c r="U42" i="5"/>
  <c r="AA40" i="5"/>
  <c r="W40" i="5"/>
  <c r="Z39" i="5"/>
  <c r="V39" i="5"/>
  <c r="Y38" i="5"/>
  <c r="U38" i="5"/>
  <c r="AA36" i="5"/>
  <c r="W36" i="5"/>
  <c r="Y34" i="5"/>
  <c r="U34" i="5"/>
  <c r="Z31" i="5"/>
  <c r="V31" i="5"/>
  <c r="AA28" i="5"/>
  <c r="W28" i="5"/>
  <c r="U44" i="5"/>
  <c r="Y44" i="5"/>
  <c r="W42" i="5"/>
  <c r="AA42" i="5"/>
  <c r="V41" i="5"/>
  <c r="Z41" i="5"/>
  <c r="U40" i="5"/>
  <c r="Y40" i="5"/>
  <c r="W38" i="5"/>
  <c r="AA38" i="5"/>
  <c r="V37" i="5"/>
  <c r="Z37" i="5"/>
  <c r="Z35" i="5"/>
  <c r="V35" i="5"/>
  <c r="AA32" i="5"/>
  <c r="W32" i="5"/>
  <c r="Y30" i="5"/>
  <c r="U30" i="5"/>
  <c r="W27" i="5"/>
  <c r="AA27" i="5"/>
  <c r="U36" i="5"/>
  <c r="Y36" i="5"/>
  <c r="W34" i="5"/>
  <c r="AA34" i="5"/>
  <c r="V33" i="5"/>
  <c r="Z33" i="5"/>
  <c r="U32" i="5"/>
  <c r="Y32" i="5"/>
  <c r="W30" i="5"/>
  <c r="AA30" i="5"/>
  <c r="V29" i="5"/>
  <c r="Z29" i="5"/>
  <c r="Y28" i="5"/>
  <c r="D224" i="7"/>
  <c r="I209" i="7" s="1"/>
  <c r="J209" i="7" s="1"/>
  <c r="P216" i="7" s="1"/>
  <c r="Q48" i="7"/>
  <c r="Q174" i="7"/>
  <c r="Q175" i="7"/>
  <c r="Q176" i="7"/>
  <c r="Q41" i="7"/>
  <c r="D192" i="7"/>
  <c r="I177" i="7" s="1"/>
  <c r="J177" i="7" s="1"/>
  <c r="H181" i="7" s="1"/>
  <c r="D31" i="7"/>
  <c r="I16" i="7" s="1"/>
  <c r="J16" i="7" s="1"/>
  <c r="K142" i="7" s="1"/>
  <c r="M142" i="7" s="1"/>
  <c r="Q280" i="7"/>
  <c r="Q15" i="7"/>
  <c r="Q212" i="7"/>
  <c r="Q80" i="7"/>
  <c r="Q45" i="7"/>
  <c r="Q46" i="7"/>
  <c r="Q179" i="7"/>
  <c r="Q145" i="7"/>
  <c r="Q177" i="7"/>
  <c r="Q17" i="7"/>
  <c r="Q50" i="7"/>
  <c r="K174" i="7"/>
  <c r="M174" i="7" s="1"/>
  <c r="Q148" i="7"/>
  <c r="Q146" i="7"/>
  <c r="I176" i="7"/>
  <c r="J176" i="7" s="1"/>
  <c r="K43" i="7"/>
  <c r="M43" i="7" s="1"/>
  <c r="I310" i="7"/>
  <c r="J310" i="7" s="1"/>
  <c r="Q272" i="7"/>
  <c r="S272" i="7"/>
  <c r="Q109" i="7"/>
  <c r="Q246" i="7"/>
  <c r="Q308" i="7"/>
  <c r="Q110" i="7"/>
  <c r="Q311" i="7"/>
  <c r="Q117" i="7"/>
  <c r="Q242" i="7"/>
  <c r="Q238" i="7"/>
  <c r="Q111" i="7"/>
  <c r="Q316" i="7"/>
  <c r="Q115" i="7"/>
  <c r="Q113" i="7"/>
  <c r="Q312" i="7"/>
  <c r="Q244" i="7"/>
  <c r="Q314" i="7"/>
  <c r="Q245" i="7"/>
  <c r="Q116" i="7"/>
  <c r="Q243" i="7"/>
  <c r="Q310" i="7"/>
  <c r="Q112" i="7"/>
  <c r="Q182" i="7"/>
  <c r="Q309" i="7"/>
  <c r="Q315" i="7"/>
  <c r="Q114" i="7"/>
  <c r="Q240" i="7"/>
  <c r="Q277" i="7"/>
  <c r="S277" i="7"/>
  <c r="I111" i="7"/>
  <c r="J111" i="7" s="1"/>
  <c r="K111" i="7" s="1"/>
  <c r="M111" i="7" s="1"/>
  <c r="J108" i="7"/>
  <c r="K108" i="7" s="1"/>
  <c r="M108" i="7" s="1"/>
  <c r="J141" i="7"/>
  <c r="K141" i="7" s="1"/>
  <c r="M141" i="7" s="1"/>
  <c r="I144" i="7"/>
  <c r="J144" i="7" s="1"/>
  <c r="Q77" i="7"/>
  <c r="Q21" i="7"/>
  <c r="Q82" i="7"/>
  <c r="Q20" i="7"/>
  <c r="Q79" i="7"/>
  <c r="K75" i="7"/>
  <c r="M75" i="7" s="1"/>
  <c r="K306" i="7"/>
  <c r="M306" i="7" s="1"/>
  <c r="Q150" i="7"/>
  <c r="Q210" i="7"/>
  <c r="D294" i="7"/>
  <c r="I279" i="7" s="1"/>
  <c r="J279" i="7" s="1"/>
  <c r="K204" i="7"/>
  <c r="M204" i="7" s="1"/>
  <c r="K274" i="7"/>
  <c r="M274" i="7" s="1"/>
  <c r="Q241" i="7"/>
  <c r="Q213" i="7"/>
  <c r="Q283" i="7"/>
  <c r="Q78" i="7"/>
  <c r="D95" i="7"/>
  <c r="I80" i="7" s="1"/>
  <c r="J80" i="7" s="1"/>
  <c r="K13" i="7"/>
  <c r="M13" i="7" s="1"/>
  <c r="Q49" i="7"/>
  <c r="K173" i="7"/>
  <c r="M173" i="7" s="1"/>
  <c r="Q14" i="7"/>
  <c r="K307" i="7"/>
  <c r="M307" i="7" s="1"/>
  <c r="J275" i="7"/>
  <c r="K275" i="7" s="1"/>
  <c r="M275" i="7" s="1"/>
  <c r="I278" i="7"/>
  <c r="J278" i="7" s="1"/>
  <c r="K278" i="7" s="1"/>
  <c r="M278" i="7" s="1"/>
  <c r="H212" i="7"/>
  <c r="P204" i="7"/>
  <c r="H211" i="7"/>
  <c r="I79" i="7"/>
  <c r="J79" i="7" s="1"/>
  <c r="K79" i="7" s="1"/>
  <c r="M79" i="7" s="1"/>
  <c r="J76" i="7"/>
  <c r="K76" i="7" s="1"/>
  <c r="M76" i="7" s="1"/>
  <c r="Q105" i="7"/>
  <c r="Q42" i="7"/>
  <c r="Q106" i="7"/>
  <c r="Q171" i="7"/>
  <c r="I269" i="7"/>
  <c r="I242" i="7"/>
  <c r="D256" i="7"/>
  <c r="Q138" i="7"/>
  <c r="S138" i="7"/>
  <c r="Q284" i="7"/>
  <c r="Q206" i="7"/>
  <c r="Q143" i="7"/>
  <c r="K206" i="7"/>
  <c r="M206" i="7" s="1"/>
  <c r="Q207" i="7"/>
  <c r="Q81" i="7"/>
  <c r="Q276" i="7"/>
  <c r="Q239" i="7"/>
  <c r="Q180" i="7"/>
  <c r="Q305" i="7"/>
  <c r="Q13" i="7"/>
  <c r="Q208" i="7"/>
  <c r="K175" i="7"/>
  <c r="M175" i="7" s="1"/>
  <c r="Q313" i="7"/>
  <c r="Q234" i="7"/>
  <c r="Q84" i="7"/>
  <c r="I208" i="7"/>
  <c r="J208" i="7" s="1"/>
  <c r="K208" i="7" s="1"/>
  <c r="M208" i="7" s="1"/>
  <c r="S16" i="7"/>
  <c r="Q16" i="7"/>
  <c r="D326" i="7"/>
  <c r="I311" i="7" s="1"/>
  <c r="J311" i="7" s="1"/>
  <c r="I312" i="7"/>
  <c r="I270" i="7"/>
  <c r="I237" i="7"/>
  <c r="I47" i="7"/>
  <c r="J47" i="7" s="1"/>
  <c r="K47" i="7" s="1"/>
  <c r="M47" i="7" s="1"/>
  <c r="J44" i="7"/>
  <c r="K44" i="7" s="1"/>
  <c r="M44" i="7" s="1"/>
  <c r="P23" i="7"/>
  <c r="H19" i="7"/>
  <c r="P22" i="7"/>
  <c r="P11" i="7"/>
  <c r="H20" i="7"/>
  <c r="H18" i="7"/>
  <c r="P12" i="7"/>
  <c r="D63" i="7"/>
  <c r="I48" i="7" s="1"/>
  <c r="J48" i="7" s="1"/>
  <c r="I49" i="7"/>
  <c r="S142" i="7"/>
  <c r="Q142" i="7"/>
  <c r="Q144" i="7"/>
  <c r="S144" i="7"/>
  <c r="Q279" i="7"/>
  <c r="S279" i="7"/>
  <c r="Q19" i="7"/>
  <c r="Q281" i="7"/>
  <c r="Q147" i="7"/>
  <c r="Q278" i="7"/>
  <c r="D160" i="7"/>
  <c r="I145" i="7" s="1"/>
  <c r="J145" i="7" s="1"/>
  <c r="D127" i="7"/>
  <c r="I112" i="7" s="1"/>
  <c r="J112" i="7" s="1"/>
  <c r="Q282" i="7"/>
  <c r="Q52" i="7"/>
  <c r="K78" i="7"/>
  <c r="M78" i="7" s="1"/>
  <c r="Q53" i="7"/>
  <c r="K308" i="7"/>
  <c r="M308" i="7" s="1"/>
  <c r="Q304" i="7"/>
  <c r="Q85" i="7"/>
  <c r="I15" i="7"/>
  <c r="J15" i="7" s="1"/>
  <c r="K15" i="7" s="1"/>
  <c r="M15" i="7" s="1"/>
  <c r="Q18" i="7"/>
  <c r="Q214" i="7"/>
  <c r="Q83" i="7"/>
  <c r="Q181" i="7"/>
  <c r="K143" i="7"/>
  <c r="M143" i="7" s="1"/>
  <c r="Q51" i="7"/>
  <c r="Q149" i="7"/>
  <c r="K205" i="7"/>
  <c r="M205" i="7" s="1"/>
  <c r="K236" i="7"/>
  <c r="M236" i="7" s="1"/>
  <c r="I278" i="6"/>
  <c r="J278" i="6" s="1"/>
  <c r="D294" i="6"/>
  <c r="I279" i="6" s="1"/>
  <c r="J279" i="6" s="1"/>
  <c r="P275" i="6" s="1"/>
  <c r="I310" i="6"/>
  <c r="J310" i="6" s="1"/>
  <c r="D326" i="6"/>
  <c r="I311" i="6" s="1"/>
  <c r="J311" i="6" s="1"/>
  <c r="I312" i="6"/>
  <c r="I208" i="6"/>
  <c r="J208" i="6" s="1"/>
  <c r="D192" i="6"/>
  <c r="I177" i="6" s="1"/>
  <c r="J177" i="6" s="1"/>
  <c r="H180" i="6" s="1"/>
  <c r="Q209" i="6"/>
  <c r="S209" i="6"/>
  <c r="J141" i="6"/>
  <c r="I144" i="6"/>
  <c r="J144" i="6" s="1"/>
  <c r="I176" i="6"/>
  <c r="J176" i="6" s="1"/>
  <c r="J173" i="6"/>
  <c r="I240" i="6"/>
  <c r="J240" i="6" s="1"/>
  <c r="J237" i="6"/>
  <c r="I242" i="6"/>
  <c r="D256" i="6"/>
  <c r="D224" i="6"/>
  <c r="I209" i="6" s="1"/>
  <c r="J209" i="6" s="1"/>
  <c r="D160" i="6"/>
  <c r="I145" i="6" s="1"/>
  <c r="J145" i="6" s="1"/>
  <c r="D95" i="6"/>
  <c r="I80" i="6" s="1"/>
  <c r="J80" i="6" s="1"/>
  <c r="J76" i="6"/>
  <c r="I79" i="6"/>
  <c r="J79" i="6" s="1"/>
  <c r="Q73" i="6"/>
  <c r="S73" i="6"/>
  <c r="Q78" i="6"/>
  <c r="S78" i="6"/>
  <c r="I47" i="6"/>
  <c r="J47" i="6" s="1"/>
  <c r="I49" i="6"/>
  <c r="D63" i="6"/>
  <c r="I48" i="6" s="1"/>
  <c r="J48" i="6" s="1"/>
  <c r="J12" i="6"/>
  <c r="I15" i="6"/>
  <c r="J15" i="6" s="1"/>
  <c r="F105" i="6"/>
  <c r="E123" i="6"/>
  <c r="B125" i="6" s="1"/>
  <c r="I17" i="6"/>
  <c r="D31" i="6"/>
  <c r="I16" i="6" s="1"/>
  <c r="J16" i="6" s="1"/>
  <c r="K43" i="6" l="1"/>
  <c r="M43" i="6" s="1"/>
  <c r="K45" i="6"/>
  <c r="M45" i="6" s="1"/>
  <c r="K237" i="6"/>
  <c r="M237" i="6" s="1"/>
  <c r="K144" i="6"/>
  <c r="M144" i="6" s="1"/>
  <c r="K310" i="6"/>
  <c r="M310" i="6" s="1"/>
  <c r="K79" i="6"/>
  <c r="M79" i="6" s="1"/>
  <c r="K240" i="6"/>
  <c r="M240" i="6" s="1"/>
  <c r="K141" i="6"/>
  <c r="M141" i="6" s="1"/>
  <c r="K208" i="6"/>
  <c r="M208" i="6" s="1"/>
  <c r="AC42" i="5"/>
  <c r="K77" i="6"/>
  <c r="M77" i="6" s="1"/>
  <c r="E76" i="13"/>
  <c r="F76" i="13" s="1"/>
  <c r="K143" i="6"/>
  <c r="M143" i="6" s="1"/>
  <c r="K236" i="6"/>
  <c r="M236" i="6" s="1"/>
  <c r="E81" i="13"/>
  <c r="F81" i="13" s="1"/>
  <c r="E80" i="13"/>
  <c r="F80" i="13" s="1"/>
  <c r="K274" i="6"/>
  <c r="M274" i="6" s="1"/>
  <c r="K204" i="6"/>
  <c r="M204" i="6" s="1"/>
  <c r="K308" i="6"/>
  <c r="M308" i="6" s="1"/>
  <c r="E79" i="13"/>
  <c r="F79" i="13" s="1"/>
  <c r="E91" i="13"/>
  <c r="F91" i="13" s="1"/>
  <c r="E78" i="13"/>
  <c r="F78" i="13" s="1"/>
  <c r="E52" i="13"/>
  <c r="F52" i="13" s="1"/>
  <c r="I241" i="6"/>
  <c r="J241" i="6" s="1"/>
  <c r="K270" i="6"/>
  <c r="K278" i="6"/>
  <c r="M278" i="6" s="1"/>
  <c r="K205" i="6"/>
  <c r="M205" i="6" s="1"/>
  <c r="E42" i="13"/>
  <c r="F42" i="13" s="1"/>
  <c r="K306" i="6"/>
  <c r="M306" i="6" s="1"/>
  <c r="K206" i="6"/>
  <c r="M206" i="6" s="1"/>
  <c r="K75" i="6"/>
  <c r="M75" i="6" s="1"/>
  <c r="E46" i="13"/>
  <c r="F46" i="13" s="1"/>
  <c r="D59" i="13"/>
  <c r="D60" i="13" s="1"/>
  <c r="K309" i="6"/>
  <c r="M309" i="6" s="1"/>
  <c r="K44" i="6"/>
  <c r="M44" i="6" s="1"/>
  <c r="K277" i="6"/>
  <c r="M277" i="6" s="1"/>
  <c r="K175" i="6"/>
  <c r="M175" i="6" s="1"/>
  <c r="E45" i="13"/>
  <c r="F45" i="13" s="1"/>
  <c r="E49" i="13"/>
  <c r="F49" i="13" s="1"/>
  <c r="B59" i="13"/>
  <c r="B60" i="13" s="1"/>
  <c r="F59" i="13"/>
  <c r="E41" i="13"/>
  <c r="E82" i="13"/>
  <c r="F82" i="13" s="1"/>
  <c r="E90" i="13"/>
  <c r="F90" i="13" s="1"/>
  <c r="K76" i="6"/>
  <c r="M76" i="6" s="1"/>
  <c r="K173" i="6"/>
  <c r="M173" i="6" s="1"/>
  <c r="K176" i="6"/>
  <c r="M176" i="6" s="1"/>
  <c r="K275" i="6"/>
  <c r="M275" i="6" s="1"/>
  <c r="K307" i="6"/>
  <c r="M307" i="6" s="1"/>
  <c r="K239" i="6"/>
  <c r="M239" i="6" s="1"/>
  <c r="C93" i="13"/>
  <c r="C94" i="13" s="1"/>
  <c r="K174" i="6"/>
  <c r="M174" i="6" s="1"/>
  <c r="D93" i="13"/>
  <c r="D94" i="13" s="1"/>
  <c r="K140" i="6"/>
  <c r="M140" i="6" s="1"/>
  <c r="E83" i="13"/>
  <c r="F83" i="13" s="1"/>
  <c r="E53" i="13"/>
  <c r="F53" i="13" s="1"/>
  <c r="F93" i="13"/>
  <c r="B93" i="13"/>
  <c r="B94" i="13" s="1"/>
  <c r="E75" i="13"/>
  <c r="K46" i="6"/>
  <c r="M46" i="6" s="1"/>
  <c r="E48" i="13"/>
  <c r="F48" i="13" s="1"/>
  <c r="E56" i="13"/>
  <c r="F56" i="13" s="1"/>
  <c r="K47" i="6"/>
  <c r="M47" i="6" s="1"/>
  <c r="K276" i="6"/>
  <c r="M276" i="6" s="1"/>
  <c r="K207" i="6"/>
  <c r="M207" i="6" s="1"/>
  <c r="E43" i="13"/>
  <c r="F43" i="13" s="1"/>
  <c r="E47" i="13"/>
  <c r="F47" i="13" s="1"/>
  <c r="C59" i="13"/>
  <c r="C60" i="13" s="1"/>
  <c r="K78" i="6"/>
  <c r="M78" i="6" s="1"/>
  <c r="P42" i="13"/>
  <c r="K172" i="6"/>
  <c r="M172" i="6" s="1"/>
  <c r="K238" i="6"/>
  <c r="M238" i="6" s="1"/>
  <c r="K142" i="6"/>
  <c r="M142" i="6" s="1"/>
  <c r="E87" i="13"/>
  <c r="F87" i="13" s="1"/>
  <c r="E57" i="13"/>
  <c r="F57" i="13" s="1"/>
  <c r="E44" i="13"/>
  <c r="F44" i="13" s="1"/>
  <c r="E86" i="13"/>
  <c r="F86" i="13" s="1"/>
  <c r="T15" i="13"/>
  <c r="E14" i="13"/>
  <c r="F14" i="13" s="1"/>
  <c r="U20" i="13"/>
  <c r="T27" i="13"/>
  <c r="E26" i="13"/>
  <c r="F26" i="13" s="1"/>
  <c r="U13" i="13"/>
  <c r="T16" i="13"/>
  <c r="E15" i="13"/>
  <c r="F15" i="13" s="1"/>
  <c r="V18" i="13"/>
  <c r="U21" i="13"/>
  <c r="E23" i="13"/>
  <c r="F23" i="13" s="1"/>
  <c r="T24" i="13"/>
  <c r="V26" i="13"/>
  <c r="T13" i="13"/>
  <c r="E12" i="13"/>
  <c r="F12" i="13" s="1"/>
  <c r="T17" i="13"/>
  <c r="E16" i="13"/>
  <c r="F16" i="13" s="1"/>
  <c r="U22" i="13"/>
  <c r="U26" i="13"/>
  <c r="V15" i="13"/>
  <c r="E20" i="13"/>
  <c r="F20" i="13" s="1"/>
  <c r="T21" i="13"/>
  <c r="V27" i="13"/>
  <c r="V12" i="13"/>
  <c r="U15" i="13"/>
  <c r="E17" i="13"/>
  <c r="F17" i="13" s="1"/>
  <c r="T18" i="13"/>
  <c r="V20" i="13"/>
  <c r="U23" i="13"/>
  <c r="E25" i="13"/>
  <c r="F25" i="13" s="1"/>
  <c r="T26" i="13"/>
  <c r="B27" i="13"/>
  <c r="B28" i="13" s="1"/>
  <c r="T10" i="13"/>
  <c r="F27" i="13"/>
  <c r="E9" i="13"/>
  <c r="V13" i="13"/>
  <c r="T19" i="13"/>
  <c r="E18" i="13"/>
  <c r="F18" i="13" s="1"/>
  <c r="U24" i="13"/>
  <c r="D27" i="13"/>
  <c r="D28" i="13" s="1"/>
  <c r="V10" i="13"/>
  <c r="E10" i="13"/>
  <c r="F10" i="13" s="1"/>
  <c r="T11" i="13"/>
  <c r="V17" i="13"/>
  <c r="E22" i="13"/>
  <c r="F22" i="13" s="1"/>
  <c r="T23" i="13"/>
  <c r="E11" i="13"/>
  <c r="F11" i="13" s="1"/>
  <c r="T12" i="13"/>
  <c r="V14" i="13"/>
  <c r="U17" i="13"/>
  <c r="T20" i="13"/>
  <c r="E19" i="13"/>
  <c r="F19" i="13" s="1"/>
  <c r="V22" i="13"/>
  <c r="U25" i="13"/>
  <c r="C27" i="13"/>
  <c r="C28" i="13" s="1"/>
  <c r="U10" i="13"/>
  <c r="U14" i="13"/>
  <c r="V19" i="13"/>
  <c r="V23" i="13"/>
  <c r="V11" i="13"/>
  <c r="U18" i="13"/>
  <c r="E24" i="13"/>
  <c r="F24" i="13" s="1"/>
  <c r="T25" i="13"/>
  <c r="U11" i="13"/>
  <c r="T14" i="13"/>
  <c r="E13" i="13"/>
  <c r="F13" i="13" s="1"/>
  <c r="V16" i="13"/>
  <c r="U19" i="13"/>
  <c r="E21" i="13"/>
  <c r="F21" i="13" s="1"/>
  <c r="T22" i="13"/>
  <c r="V24" i="13"/>
  <c r="U27" i="13"/>
  <c r="U12" i="13"/>
  <c r="U16" i="13"/>
  <c r="V21" i="13"/>
  <c r="V25" i="13"/>
  <c r="AE30" i="5"/>
  <c r="AD41" i="5"/>
  <c r="E55" i="9"/>
  <c r="F55" i="9" s="1"/>
  <c r="AD43" i="5"/>
  <c r="AD38" i="5"/>
  <c r="AC28" i="5"/>
  <c r="AC36" i="5"/>
  <c r="AC30" i="5"/>
  <c r="AC38" i="5"/>
  <c r="AE37" i="5"/>
  <c r="AC43" i="5"/>
  <c r="AE31" i="5"/>
  <c r="AC29" i="5"/>
  <c r="AC32" i="5"/>
  <c r="AD37" i="5"/>
  <c r="AE42" i="5"/>
  <c r="E48" i="9"/>
  <c r="F48" i="9" s="1"/>
  <c r="AE44" i="5"/>
  <c r="E54" i="9"/>
  <c r="F54" i="9" s="1"/>
  <c r="AE28" i="5"/>
  <c r="AD40" i="5"/>
  <c r="E43" i="9"/>
  <c r="F43" i="9" s="1"/>
  <c r="AE35" i="5"/>
  <c r="AD29" i="5"/>
  <c r="AE32" i="5"/>
  <c r="AD39" i="5"/>
  <c r="E56" i="9"/>
  <c r="F56" i="9" s="1"/>
  <c r="E83" i="9"/>
  <c r="F83" i="9" s="1"/>
  <c r="AC39" i="5"/>
  <c r="AD44" i="5"/>
  <c r="AD30" i="5"/>
  <c r="AE36" i="5"/>
  <c r="AC41" i="5"/>
  <c r="AD33" i="5"/>
  <c r="E76" i="9"/>
  <c r="F76" i="9" s="1"/>
  <c r="AE38" i="5"/>
  <c r="AC44" i="5"/>
  <c r="AD31" i="5"/>
  <c r="E51" i="9"/>
  <c r="F51" i="9" s="1"/>
  <c r="AD42" i="5"/>
  <c r="AE27" i="5"/>
  <c r="AC40" i="5"/>
  <c r="AE40" i="5"/>
  <c r="AE41" i="5"/>
  <c r="AE39" i="5"/>
  <c r="AE34" i="5"/>
  <c r="AD35" i="5"/>
  <c r="AC34" i="5"/>
  <c r="AC37" i="5"/>
  <c r="AC33" i="5"/>
  <c r="U31" i="5"/>
  <c r="Y31" i="5"/>
  <c r="Z27" i="5"/>
  <c r="V27" i="5"/>
  <c r="W29" i="5"/>
  <c r="AA29" i="5"/>
  <c r="U35" i="5"/>
  <c r="Y35" i="5"/>
  <c r="V28" i="5"/>
  <c r="Z28" i="5"/>
  <c r="W33" i="5"/>
  <c r="AA33" i="5"/>
  <c r="V32" i="5"/>
  <c r="Z32" i="5"/>
  <c r="U27" i="5"/>
  <c r="Y27" i="5"/>
  <c r="V36" i="5"/>
  <c r="Z36" i="5"/>
  <c r="H213" i="7"/>
  <c r="P205" i="7"/>
  <c r="P215" i="7"/>
  <c r="P173" i="7"/>
  <c r="K310" i="7"/>
  <c r="M310" i="7" s="1"/>
  <c r="K12" i="7"/>
  <c r="M12" i="7" s="1"/>
  <c r="K144" i="7"/>
  <c r="M144" i="7" s="1"/>
  <c r="K276" i="7"/>
  <c r="M276" i="7" s="1"/>
  <c r="K140" i="7"/>
  <c r="M140" i="7" s="1"/>
  <c r="K176" i="7"/>
  <c r="M176" i="7" s="1"/>
  <c r="K207" i="7"/>
  <c r="M207" i="7" s="1"/>
  <c r="K46" i="7"/>
  <c r="M46" i="7" s="1"/>
  <c r="K11" i="7"/>
  <c r="M11" i="7" s="1"/>
  <c r="K109" i="7"/>
  <c r="M109" i="7" s="1"/>
  <c r="K239" i="7"/>
  <c r="M239" i="7" s="1"/>
  <c r="K309" i="7"/>
  <c r="M309" i="7" s="1"/>
  <c r="H179" i="7"/>
  <c r="P183" i="7"/>
  <c r="P172" i="7"/>
  <c r="P184" i="7"/>
  <c r="H180" i="7"/>
  <c r="K277" i="7"/>
  <c r="M277" i="7" s="1"/>
  <c r="K14" i="7"/>
  <c r="M14" i="7" s="1"/>
  <c r="K45" i="7"/>
  <c r="M45" i="7" s="1"/>
  <c r="K172" i="7"/>
  <c r="M172" i="7" s="1"/>
  <c r="K107" i="7"/>
  <c r="M107" i="7" s="1"/>
  <c r="K238" i="7"/>
  <c r="M238" i="7" s="1"/>
  <c r="K110" i="7"/>
  <c r="M110" i="7" s="1"/>
  <c r="K77" i="7"/>
  <c r="M77" i="7" s="1"/>
  <c r="I240" i="7"/>
  <c r="J240" i="7" s="1"/>
  <c r="K240" i="7" s="1"/>
  <c r="M240" i="7" s="1"/>
  <c r="J237" i="7"/>
  <c r="K237" i="7" s="1"/>
  <c r="M237" i="7" s="1"/>
  <c r="P87" i="7"/>
  <c r="H83" i="7"/>
  <c r="P86" i="7"/>
  <c r="P75" i="7"/>
  <c r="H84" i="7"/>
  <c r="H82" i="7"/>
  <c r="P76" i="7"/>
  <c r="P318" i="7"/>
  <c r="H313" i="7"/>
  <c r="P306" i="7"/>
  <c r="P317" i="7"/>
  <c r="H314" i="7"/>
  <c r="P307" i="7"/>
  <c r="H315" i="7"/>
  <c r="H283" i="7"/>
  <c r="H281" i="7"/>
  <c r="P275" i="7"/>
  <c r="P286" i="7"/>
  <c r="H282" i="7"/>
  <c r="P285" i="7"/>
  <c r="P274" i="7"/>
  <c r="P151" i="7"/>
  <c r="P140" i="7"/>
  <c r="H149" i="7"/>
  <c r="H147" i="7"/>
  <c r="P141" i="7"/>
  <c r="P152" i="7"/>
  <c r="H148" i="7"/>
  <c r="H51" i="7"/>
  <c r="P44" i="7"/>
  <c r="P55" i="7"/>
  <c r="H52" i="7"/>
  <c r="P54" i="7"/>
  <c r="H50" i="7"/>
  <c r="P43" i="7"/>
  <c r="H114" i="7"/>
  <c r="P107" i="7"/>
  <c r="H115" i="7"/>
  <c r="P108" i="7"/>
  <c r="P119" i="7"/>
  <c r="H116" i="7"/>
  <c r="P118" i="7"/>
  <c r="K270" i="7"/>
  <c r="I241" i="7"/>
  <c r="J241" i="7" s="1"/>
  <c r="H281" i="6"/>
  <c r="P286" i="6"/>
  <c r="P285" i="6"/>
  <c r="H282" i="6"/>
  <c r="H283" i="6"/>
  <c r="P274" i="6"/>
  <c r="P318" i="6"/>
  <c r="H313" i="6"/>
  <c r="P306" i="6"/>
  <c r="P317" i="6"/>
  <c r="H314" i="6"/>
  <c r="P307" i="6"/>
  <c r="H315" i="6"/>
  <c r="H179" i="6"/>
  <c r="P173" i="6"/>
  <c r="P184" i="6"/>
  <c r="H181" i="6"/>
  <c r="P183" i="6"/>
  <c r="P172" i="6"/>
  <c r="P248" i="6"/>
  <c r="H245" i="6"/>
  <c r="P247" i="6"/>
  <c r="H243" i="6"/>
  <c r="P236" i="6"/>
  <c r="H244" i="6"/>
  <c r="P237" i="6"/>
  <c r="P215" i="6"/>
  <c r="P204" i="6"/>
  <c r="H213" i="6"/>
  <c r="H211" i="6"/>
  <c r="P205" i="6"/>
  <c r="P216" i="6"/>
  <c r="H212" i="6"/>
  <c r="H149" i="6"/>
  <c r="H147" i="6"/>
  <c r="P141" i="6"/>
  <c r="P152" i="6"/>
  <c r="H148" i="6"/>
  <c r="P151" i="6"/>
  <c r="P140" i="6"/>
  <c r="P87" i="6"/>
  <c r="H83" i="6"/>
  <c r="P86" i="6"/>
  <c r="P75" i="6"/>
  <c r="H84" i="6"/>
  <c r="H82" i="6"/>
  <c r="P76" i="6"/>
  <c r="P55" i="6"/>
  <c r="H52" i="6"/>
  <c r="P54" i="6"/>
  <c r="H50" i="6"/>
  <c r="P43" i="6"/>
  <c r="H51" i="6"/>
  <c r="P44" i="6"/>
  <c r="K11" i="6"/>
  <c r="M11" i="6" s="1"/>
  <c r="P109" i="6"/>
  <c r="P105" i="6"/>
  <c r="H20" i="6"/>
  <c r="H18" i="6"/>
  <c r="P12" i="6"/>
  <c r="H19" i="6"/>
  <c r="P23" i="6"/>
  <c r="P11" i="6"/>
  <c r="P22" i="6"/>
  <c r="B126" i="6"/>
  <c r="I109" i="6"/>
  <c r="J109" i="6" s="1"/>
  <c r="K109" i="6" s="1"/>
  <c r="M109" i="6" s="1"/>
  <c r="D126" i="6"/>
  <c r="I107" i="6" s="1"/>
  <c r="J107" i="6" s="1"/>
  <c r="K107" i="6" s="1"/>
  <c r="M107" i="6" s="1"/>
  <c r="B127" i="6"/>
  <c r="I108" i="6" s="1"/>
  <c r="K14" i="6"/>
  <c r="M14" i="6" s="1"/>
  <c r="K13" i="6"/>
  <c r="M13" i="6" s="1"/>
  <c r="I110" i="6"/>
  <c r="J110" i="6" s="1"/>
  <c r="K110" i="6" s="1"/>
  <c r="M110" i="6" s="1"/>
  <c r="K12" i="6"/>
  <c r="M12" i="6" s="1"/>
  <c r="K15" i="6"/>
  <c r="M15" i="6" s="1"/>
  <c r="Q171" i="6" l="1"/>
  <c r="Q305" i="6"/>
  <c r="Q235" i="6"/>
  <c r="Q234" i="6"/>
  <c r="Q170" i="6"/>
  <c r="Q304" i="6"/>
  <c r="AB11" i="13"/>
  <c r="P48" i="13"/>
  <c r="P47" i="13"/>
  <c r="P49" i="13"/>
  <c r="P83" i="13"/>
  <c r="P76" i="13"/>
  <c r="Q240" i="6"/>
  <c r="Q310" i="6"/>
  <c r="Q309" i="6"/>
  <c r="Q177" i="6"/>
  <c r="Q242" i="6"/>
  <c r="Q312" i="6"/>
  <c r="Q182" i="6"/>
  <c r="Q314" i="6"/>
  <c r="Q175" i="6"/>
  <c r="Q245" i="6"/>
  <c r="Q244" i="6"/>
  <c r="Q176" i="6"/>
  <c r="Q241" i="6"/>
  <c r="Q180" i="6"/>
  <c r="Q239" i="6"/>
  <c r="Q181" i="6"/>
  <c r="Q243" i="6"/>
  <c r="Q179" i="6"/>
  <c r="Q246" i="6"/>
  <c r="Q313" i="6"/>
  <c r="Q178" i="6"/>
  <c r="Q311" i="6"/>
  <c r="Q316" i="6"/>
  <c r="Q315" i="6"/>
  <c r="Q174" i="6"/>
  <c r="Q308" i="6"/>
  <c r="Q238" i="6"/>
  <c r="F75" i="13"/>
  <c r="E93" i="13"/>
  <c r="B95" i="13" s="1"/>
  <c r="I80" i="13" s="1"/>
  <c r="J80" i="13" s="1"/>
  <c r="P87" i="13"/>
  <c r="P86" i="13"/>
  <c r="P53" i="13"/>
  <c r="P84" i="13"/>
  <c r="P80" i="13"/>
  <c r="P51" i="13"/>
  <c r="P81" i="13"/>
  <c r="F41" i="13"/>
  <c r="E59" i="13"/>
  <c r="B61" i="13" s="1"/>
  <c r="I46" i="13"/>
  <c r="J46" i="13" s="1"/>
  <c r="P50" i="13"/>
  <c r="P82" i="13"/>
  <c r="P85" i="13"/>
  <c r="P52" i="13"/>
  <c r="P46" i="13"/>
  <c r="P21" i="13"/>
  <c r="P16" i="13"/>
  <c r="P19" i="13"/>
  <c r="P15" i="13"/>
  <c r="P14" i="13"/>
  <c r="E27" i="13"/>
  <c r="B29" i="13" s="1"/>
  <c r="I14" i="13" s="1"/>
  <c r="J14" i="13" s="1"/>
  <c r="F9" i="13"/>
  <c r="P17" i="13"/>
  <c r="P18" i="13"/>
  <c r="P10" i="13"/>
  <c r="P20" i="13"/>
  <c r="E53" i="9"/>
  <c r="F53" i="9" s="1"/>
  <c r="AC27" i="5"/>
  <c r="AC35" i="5"/>
  <c r="E79" i="9"/>
  <c r="F79" i="9" s="1"/>
  <c r="E81" i="9"/>
  <c r="F81" i="9" s="1"/>
  <c r="C59" i="9"/>
  <c r="C60" i="9" s="1"/>
  <c r="E46" i="9"/>
  <c r="F46" i="9" s="1"/>
  <c r="E44" i="9"/>
  <c r="F44" i="9" s="1"/>
  <c r="E87" i="9"/>
  <c r="F87" i="9" s="1"/>
  <c r="E89" i="9"/>
  <c r="F89" i="9" s="1"/>
  <c r="E80" i="9"/>
  <c r="F80" i="9" s="1"/>
  <c r="E90" i="9"/>
  <c r="F90" i="9" s="1"/>
  <c r="E75" i="9"/>
  <c r="F75" i="9" s="1"/>
  <c r="E85" i="9"/>
  <c r="F85" i="9" s="1"/>
  <c r="P80" i="9" s="1"/>
  <c r="E77" i="9"/>
  <c r="F77" i="9" s="1"/>
  <c r="AE33" i="5"/>
  <c r="E58" i="9"/>
  <c r="F58" i="9" s="1"/>
  <c r="AC31" i="5"/>
  <c r="E117" i="9"/>
  <c r="F117" i="9" s="1"/>
  <c r="E121" i="9"/>
  <c r="F121" i="9" s="1"/>
  <c r="E116" i="9"/>
  <c r="F116" i="9" s="1"/>
  <c r="E86" i="9"/>
  <c r="F86" i="9" s="1"/>
  <c r="D91" i="9"/>
  <c r="D92" i="9" s="1"/>
  <c r="E84" i="9"/>
  <c r="F84" i="9" s="1"/>
  <c r="AD32" i="5"/>
  <c r="E78" i="9"/>
  <c r="F78" i="9" s="1"/>
  <c r="P82" i="9" s="1"/>
  <c r="E57" i="9"/>
  <c r="F57" i="9" s="1"/>
  <c r="E52" i="9"/>
  <c r="F52" i="9" s="1"/>
  <c r="D59" i="9"/>
  <c r="D60" i="9" s="1"/>
  <c r="E88" i="9"/>
  <c r="F88" i="9" s="1"/>
  <c r="E82" i="9"/>
  <c r="F82" i="9" s="1"/>
  <c r="E120" i="9"/>
  <c r="F120" i="9" s="1"/>
  <c r="E108" i="9"/>
  <c r="F108" i="9" s="1"/>
  <c r="E42" i="9"/>
  <c r="F42" i="9" s="1"/>
  <c r="E74" i="9"/>
  <c r="F74" i="9" s="1"/>
  <c r="P78" i="9" s="1"/>
  <c r="E50" i="9"/>
  <c r="F50" i="9" s="1"/>
  <c r="AD36" i="5"/>
  <c r="AD27" i="5"/>
  <c r="AD28" i="5"/>
  <c r="AE29" i="5"/>
  <c r="P247" i="7"/>
  <c r="H244" i="7"/>
  <c r="P237" i="7"/>
  <c r="H245" i="7"/>
  <c r="P248" i="7"/>
  <c r="H243" i="7"/>
  <c r="P236" i="7"/>
  <c r="Q42" i="6"/>
  <c r="Q41" i="6"/>
  <c r="Q46" i="6"/>
  <c r="Q52" i="6"/>
  <c r="Q47" i="6"/>
  <c r="Q53" i="6"/>
  <c r="Q49" i="6"/>
  <c r="Q50" i="6"/>
  <c r="Q51" i="6"/>
  <c r="Q48" i="6"/>
  <c r="Q45" i="6"/>
  <c r="Q105" i="6"/>
  <c r="Q106" i="6"/>
  <c r="J108" i="6"/>
  <c r="K108" i="6" s="1"/>
  <c r="M108" i="6" s="1"/>
  <c r="I111" i="6"/>
  <c r="J111" i="6" s="1"/>
  <c r="K111" i="6" s="1"/>
  <c r="M111" i="6" s="1"/>
  <c r="D127" i="6"/>
  <c r="I112" i="6" s="1"/>
  <c r="J112" i="6" s="1"/>
  <c r="I113" i="6"/>
  <c r="Q109" i="6"/>
  <c r="Q113" i="6"/>
  <c r="Q114" i="6"/>
  <c r="Q112" i="6"/>
  <c r="Q116" i="6"/>
  <c r="Q111" i="6"/>
  <c r="Q117" i="6"/>
  <c r="Q115" i="6"/>
  <c r="Q110" i="6"/>
  <c r="Q46" i="13" l="1"/>
  <c r="P45" i="13"/>
  <c r="Q52" i="13" s="1"/>
  <c r="P41" i="13"/>
  <c r="P79" i="13"/>
  <c r="P75" i="13"/>
  <c r="Q47" i="13"/>
  <c r="Q51" i="13"/>
  <c r="B63" i="13"/>
  <c r="I44" i="13" s="1"/>
  <c r="I45" i="13"/>
  <c r="J45" i="13" s="1"/>
  <c r="B62" i="13"/>
  <c r="D62" i="13"/>
  <c r="I43" i="13" s="1"/>
  <c r="J43" i="13" s="1"/>
  <c r="B96" i="13"/>
  <c r="I79" i="13"/>
  <c r="J79" i="13" s="1"/>
  <c r="B97" i="13"/>
  <c r="I78" i="13" s="1"/>
  <c r="D96" i="13"/>
  <c r="I77" i="13" s="1"/>
  <c r="J77" i="13" s="1"/>
  <c r="I13" i="13"/>
  <c r="J13" i="13" s="1"/>
  <c r="B30" i="13"/>
  <c r="B31" i="13"/>
  <c r="I12" i="13" s="1"/>
  <c r="D30" i="13"/>
  <c r="I11" i="13" s="1"/>
  <c r="J11" i="13" s="1"/>
  <c r="P13" i="13"/>
  <c r="Q18" i="13" s="1"/>
  <c r="P9" i="13"/>
  <c r="P81" i="9"/>
  <c r="P83" i="9"/>
  <c r="P79" i="9"/>
  <c r="P74" i="9"/>
  <c r="P84" i="9"/>
  <c r="P52" i="9"/>
  <c r="E139" i="9"/>
  <c r="F139" i="9" s="1"/>
  <c r="E112" i="9"/>
  <c r="F112" i="9" s="1"/>
  <c r="P116" i="9" s="1"/>
  <c r="E145" i="9"/>
  <c r="F145" i="9" s="1"/>
  <c r="F59" i="9"/>
  <c r="E41" i="9"/>
  <c r="B59" i="9"/>
  <c r="B60" i="9" s="1"/>
  <c r="E106" i="9"/>
  <c r="F106" i="9" s="1"/>
  <c r="P42" i="9"/>
  <c r="E154" i="9"/>
  <c r="F154" i="9" s="1"/>
  <c r="E155" i="9"/>
  <c r="F155" i="9" s="1"/>
  <c r="P85" i="9"/>
  <c r="E141" i="9"/>
  <c r="F141" i="9" s="1"/>
  <c r="E115" i="9"/>
  <c r="F115" i="9" s="1"/>
  <c r="E150" i="9"/>
  <c r="F150" i="9" s="1"/>
  <c r="E153" i="9"/>
  <c r="F153" i="9" s="1"/>
  <c r="P46" i="9"/>
  <c r="E147" i="9"/>
  <c r="F147" i="9" s="1"/>
  <c r="E119" i="9"/>
  <c r="F119" i="9" s="1"/>
  <c r="E152" i="9"/>
  <c r="F152" i="9" s="1"/>
  <c r="E109" i="9"/>
  <c r="F109" i="9" s="1"/>
  <c r="E47" i="9"/>
  <c r="F47" i="9" s="1"/>
  <c r="P48" i="9"/>
  <c r="P50" i="9"/>
  <c r="E111" i="9"/>
  <c r="F111" i="9" s="1"/>
  <c r="P115" i="9" s="1"/>
  <c r="E113" i="9"/>
  <c r="F113" i="9" s="1"/>
  <c r="P47" i="9"/>
  <c r="P112" i="9"/>
  <c r="E149" i="9"/>
  <c r="F149" i="9" s="1"/>
  <c r="E110" i="9"/>
  <c r="F110" i="9" s="1"/>
  <c r="E118" i="9"/>
  <c r="F118" i="9" s="1"/>
  <c r="D123" i="9"/>
  <c r="D124" i="9" s="1"/>
  <c r="E122" i="9"/>
  <c r="F122" i="9" s="1"/>
  <c r="E151" i="9"/>
  <c r="F151" i="9" s="1"/>
  <c r="E45" i="9"/>
  <c r="F45" i="9" s="1"/>
  <c r="E73" i="9"/>
  <c r="B91" i="9"/>
  <c r="B92" i="9" s="1"/>
  <c r="F91" i="9"/>
  <c r="E146" i="9"/>
  <c r="F146" i="9" s="1"/>
  <c r="E49" i="9"/>
  <c r="F49" i="9" s="1"/>
  <c r="C91" i="9"/>
  <c r="C92" i="9" s="1"/>
  <c r="E143" i="9"/>
  <c r="F143" i="9" s="1"/>
  <c r="E148" i="9"/>
  <c r="F148" i="9" s="1"/>
  <c r="E114" i="9"/>
  <c r="F114" i="9" s="1"/>
  <c r="P118" i="6"/>
  <c r="P107" i="6"/>
  <c r="H115" i="6"/>
  <c r="P108" i="6"/>
  <c r="P119" i="6"/>
  <c r="H116" i="6"/>
  <c r="H114" i="6"/>
  <c r="J78" i="13" l="1"/>
  <c r="I81" i="13"/>
  <c r="J81" i="13" s="1"/>
  <c r="I49" i="13"/>
  <c r="D63" i="13"/>
  <c r="I48" i="13" s="1"/>
  <c r="J48" i="13" s="1"/>
  <c r="Q41" i="13"/>
  <c r="Q108" i="13"/>
  <c r="Q107" i="13"/>
  <c r="Q42" i="13"/>
  <c r="Q45" i="13"/>
  <c r="Q113" i="13"/>
  <c r="Q117" i="13"/>
  <c r="Q116" i="13"/>
  <c r="Q112" i="13"/>
  <c r="Q119" i="13"/>
  <c r="Q118" i="13"/>
  <c r="Q114" i="13"/>
  <c r="Q115" i="13"/>
  <c r="Q111" i="13"/>
  <c r="Q48" i="13"/>
  <c r="D97" i="13"/>
  <c r="I82" i="13" s="1"/>
  <c r="J82" i="13" s="1"/>
  <c r="I83" i="13"/>
  <c r="J44" i="13"/>
  <c r="I47" i="13"/>
  <c r="J47" i="13" s="1"/>
  <c r="Q49" i="13"/>
  <c r="Q53" i="13"/>
  <c r="Q50" i="13"/>
  <c r="Q15" i="13"/>
  <c r="Q16" i="13"/>
  <c r="Q20" i="13"/>
  <c r="Q19" i="13"/>
  <c r="Q76" i="13"/>
  <c r="Q9" i="13"/>
  <c r="Q75" i="13"/>
  <c r="Q10" i="13"/>
  <c r="Q84" i="13"/>
  <c r="Q87" i="13"/>
  <c r="Q13" i="13"/>
  <c r="Q86" i="13"/>
  <c r="Q82" i="13"/>
  <c r="Q81" i="13"/>
  <c r="Q85" i="13"/>
  <c r="Q80" i="13"/>
  <c r="Q83" i="13"/>
  <c r="Q79" i="13"/>
  <c r="D31" i="13"/>
  <c r="I16" i="13" s="1"/>
  <c r="J16" i="13" s="1"/>
  <c r="I17" i="13"/>
  <c r="Q17" i="13"/>
  <c r="J12" i="13"/>
  <c r="K12" i="13" s="1"/>
  <c r="M12" i="13" s="1"/>
  <c r="I15" i="13"/>
  <c r="J15" i="13" s="1"/>
  <c r="K15" i="13" s="1"/>
  <c r="M15" i="13" s="1"/>
  <c r="Q14" i="13"/>
  <c r="Q21" i="13"/>
  <c r="P150" i="9"/>
  <c r="P147" i="9"/>
  <c r="P106" i="9"/>
  <c r="P113" i="9"/>
  <c r="D156" i="9"/>
  <c r="D157" i="9" s="1"/>
  <c r="P139" i="9"/>
  <c r="P149" i="9"/>
  <c r="E144" i="9"/>
  <c r="F144" i="9" s="1"/>
  <c r="P148" i="9" s="1"/>
  <c r="P145" i="9"/>
  <c r="E140" i="9"/>
  <c r="F140" i="9" s="1"/>
  <c r="P144" i="9" s="1"/>
  <c r="P143" i="9"/>
  <c r="P53" i="9"/>
  <c r="F41" i="9"/>
  <c r="E59" i="9"/>
  <c r="B61" i="9" s="1"/>
  <c r="I46" i="9" s="1"/>
  <c r="J46" i="9" s="1"/>
  <c r="K46" i="9" s="1"/>
  <c r="M46" i="9" s="1"/>
  <c r="E142" i="9"/>
  <c r="F142" i="9" s="1"/>
  <c r="P146" i="9" s="1"/>
  <c r="K178" i="9"/>
  <c r="M178" i="9" s="1"/>
  <c r="K177" i="9"/>
  <c r="M177" i="9" s="1"/>
  <c r="K175" i="9"/>
  <c r="M175" i="9" s="1"/>
  <c r="K179" i="9"/>
  <c r="M179" i="9" s="1"/>
  <c r="K176" i="9"/>
  <c r="M176" i="9" s="1"/>
  <c r="K239" i="9"/>
  <c r="M239" i="9" s="1"/>
  <c r="K242" i="9"/>
  <c r="M242" i="9" s="1"/>
  <c r="K241" i="9"/>
  <c r="M241" i="9" s="1"/>
  <c r="K207" i="9"/>
  <c r="M207" i="9" s="1"/>
  <c r="K243" i="9"/>
  <c r="M243" i="9" s="1"/>
  <c r="K240" i="9"/>
  <c r="M240" i="9" s="1"/>
  <c r="K210" i="9"/>
  <c r="M210" i="9" s="1"/>
  <c r="K209" i="9"/>
  <c r="M209" i="9" s="1"/>
  <c r="K274" i="9"/>
  <c r="M274" i="9" s="1"/>
  <c r="K208" i="9"/>
  <c r="M208" i="9" s="1"/>
  <c r="K273" i="9"/>
  <c r="M273" i="9" s="1"/>
  <c r="K306" i="9"/>
  <c r="M306" i="9" s="1"/>
  <c r="K307" i="9"/>
  <c r="M307" i="9" s="1"/>
  <c r="K211" i="9"/>
  <c r="M211" i="9" s="1"/>
  <c r="K271" i="9"/>
  <c r="M271" i="9" s="1"/>
  <c r="K305" i="9"/>
  <c r="M305" i="9" s="1"/>
  <c r="K308" i="9"/>
  <c r="M308" i="9" s="1"/>
  <c r="K272" i="9"/>
  <c r="M272" i="9" s="1"/>
  <c r="K275" i="9"/>
  <c r="M275" i="9" s="1"/>
  <c r="K304" i="9"/>
  <c r="M304" i="9" s="1"/>
  <c r="P114" i="9"/>
  <c r="E105" i="9"/>
  <c r="F123" i="9"/>
  <c r="B123" i="9"/>
  <c r="B124" i="9" s="1"/>
  <c r="P49" i="9"/>
  <c r="C156" i="9"/>
  <c r="C157" i="9" s="1"/>
  <c r="C123" i="9"/>
  <c r="C124" i="9" s="1"/>
  <c r="P117" i="9"/>
  <c r="E107" i="9"/>
  <c r="F107" i="9" s="1"/>
  <c r="P111" i="9" s="1"/>
  <c r="F73" i="9"/>
  <c r="E91" i="9"/>
  <c r="B93" i="9" s="1"/>
  <c r="I78" i="9" s="1"/>
  <c r="J78" i="9" s="1"/>
  <c r="K78" i="9" s="1"/>
  <c r="M78" i="9" s="1"/>
  <c r="P51" i="9"/>
  <c r="P110" i="9"/>
  <c r="L10" i="1"/>
  <c r="L8" i="1"/>
  <c r="L9" i="1"/>
  <c r="L7" i="1"/>
  <c r="G10" i="1"/>
  <c r="G8" i="1"/>
  <c r="G9" i="1"/>
  <c r="G7" i="1"/>
  <c r="I10" i="1"/>
  <c r="J10" i="1"/>
  <c r="K10" i="1"/>
  <c r="H10" i="1"/>
  <c r="D10" i="1"/>
  <c r="E10" i="1"/>
  <c r="F10" i="1"/>
  <c r="C10" i="1"/>
  <c r="H50" i="13" l="1"/>
  <c r="P55" i="13"/>
  <c r="P43" i="13"/>
  <c r="P54" i="13"/>
  <c r="P44" i="13"/>
  <c r="H51" i="13"/>
  <c r="H52" i="13"/>
  <c r="P88" i="13"/>
  <c r="P77" i="13"/>
  <c r="H85" i="13"/>
  <c r="H86" i="13"/>
  <c r="P78" i="13"/>
  <c r="P89" i="13"/>
  <c r="H84" i="13"/>
  <c r="K110" i="13"/>
  <c r="M110" i="13" s="1"/>
  <c r="K172" i="13"/>
  <c r="M172" i="13" s="1"/>
  <c r="K142" i="13"/>
  <c r="M142" i="13" s="1"/>
  <c r="K169" i="13"/>
  <c r="M169" i="13" s="1"/>
  <c r="K171" i="13"/>
  <c r="M171" i="13" s="1"/>
  <c r="K139" i="13"/>
  <c r="M139" i="13" s="1"/>
  <c r="K141" i="13"/>
  <c r="M141" i="13" s="1"/>
  <c r="K173" i="13"/>
  <c r="M173" i="13" s="1"/>
  <c r="K143" i="13"/>
  <c r="M143" i="13" s="1"/>
  <c r="K170" i="13"/>
  <c r="M170" i="13" s="1"/>
  <c r="K140" i="13"/>
  <c r="M140" i="13" s="1"/>
  <c r="K81" i="13"/>
  <c r="M81" i="13" s="1"/>
  <c r="P22" i="13"/>
  <c r="K43" i="13"/>
  <c r="M43" i="13" s="1"/>
  <c r="K47" i="13"/>
  <c r="M47" i="13" s="1"/>
  <c r="K113" i="13"/>
  <c r="M113" i="13" s="1"/>
  <c r="P23" i="13"/>
  <c r="K109" i="13"/>
  <c r="M109" i="13" s="1"/>
  <c r="K46" i="13"/>
  <c r="M46" i="13" s="1"/>
  <c r="K80" i="13"/>
  <c r="M80" i="13" s="1"/>
  <c r="K79" i="13"/>
  <c r="M79" i="13" s="1"/>
  <c r="K44" i="13"/>
  <c r="M44" i="13" s="1"/>
  <c r="H19" i="13"/>
  <c r="P11" i="13"/>
  <c r="K45" i="13"/>
  <c r="M45" i="13" s="1"/>
  <c r="K78" i="13"/>
  <c r="M78" i="13" s="1"/>
  <c r="P12" i="13"/>
  <c r="H20" i="13"/>
  <c r="K112" i="13"/>
  <c r="M112" i="13" s="1"/>
  <c r="K77" i="13"/>
  <c r="M77" i="13" s="1"/>
  <c r="H18" i="13"/>
  <c r="K111" i="13"/>
  <c r="M111" i="13" s="1"/>
  <c r="K14" i="13"/>
  <c r="M14" i="13" s="1"/>
  <c r="K13" i="13"/>
  <c r="M13" i="13" s="1"/>
  <c r="K11" i="13"/>
  <c r="M11" i="13" s="1"/>
  <c r="F105" i="9"/>
  <c r="E123" i="9"/>
  <c r="B125" i="9" s="1"/>
  <c r="I110" i="9" s="1"/>
  <c r="J110" i="9" s="1"/>
  <c r="K110" i="9" s="1"/>
  <c r="M110" i="9" s="1"/>
  <c r="B62" i="9"/>
  <c r="B63" i="9"/>
  <c r="I44" i="9" s="1"/>
  <c r="D62" i="9"/>
  <c r="I43" i="9" s="1"/>
  <c r="J43" i="9" s="1"/>
  <c r="K43" i="9" s="1"/>
  <c r="M43" i="9" s="1"/>
  <c r="I45" i="9"/>
  <c r="J45" i="9" s="1"/>
  <c r="K45" i="9" s="1"/>
  <c r="M45" i="9" s="1"/>
  <c r="P73" i="9"/>
  <c r="P77" i="9"/>
  <c r="B94" i="9"/>
  <c r="B95" i="9"/>
  <c r="I76" i="9" s="1"/>
  <c r="D94" i="9"/>
  <c r="I75" i="9" s="1"/>
  <c r="J75" i="9" s="1"/>
  <c r="K75" i="9" s="1"/>
  <c r="M75" i="9" s="1"/>
  <c r="I77" i="9"/>
  <c r="J77" i="9" s="1"/>
  <c r="K77" i="9" s="1"/>
  <c r="M77" i="9" s="1"/>
  <c r="B156" i="9"/>
  <c r="B157" i="9" s="1"/>
  <c r="E138" i="9"/>
  <c r="F156" i="9"/>
  <c r="P45" i="9"/>
  <c r="Q53" i="9" s="1"/>
  <c r="P41" i="9"/>
  <c r="Q49" i="9" l="1"/>
  <c r="J76" i="9"/>
  <c r="K76" i="9" s="1"/>
  <c r="M76" i="9" s="1"/>
  <c r="I79" i="9"/>
  <c r="J79" i="9" s="1"/>
  <c r="K79" i="9" s="1"/>
  <c r="M79" i="9" s="1"/>
  <c r="B126" i="9"/>
  <c r="I109" i="9"/>
  <c r="J109" i="9" s="1"/>
  <c r="K109" i="9" s="1"/>
  <c r="M109" i="9" s="1"/>
  <c r="B127" i="9"/>
  <c r="I108" i="9" s="1"/>
  <c r="D126" i="9"/>
  <c r="I107" i="9" s="1"/>
  <c r="J107" i="9" s="1"/>
  <c r="K107" i="9" s="1"/>
  <c r="M107" i="9" s="1"/>
  <c r="Q51" i="9"/>
  <c r="Q73" i="9"/>
  <c r="Q237" i="9"/>
  <c r="Q238" i="9"/>
  <c r="Q74" i="9"/>
  <c r="Q41" i="9"/>
  <c r="Q42" i="9"/>
  <c r="Q77" i="9"/>
  <c r="Q242" i="9"/>
  <c r="Q244" i="9"/>
  <c r="Q246" i="9"/>
  <c r="Q247" i="9"/>
  <c r="Q249" i="9"/>
  <c r="Q248" i="9"/>
  <c r="Q245" i="9"/>
  <c r="Q243" i="9"/>
  <c r="Q241" i="9"/>
  <c r="Q82" i="9"/>
  <c r="Q84" i="9"/>
  <c r="Q80" i="9"/>
  <c r="Q83" i="9"/>
  <c r="Q78" i="9"/>
  <c r="Q79" i="9"/>
  <c r="Q81" i="9"/>
  <c r="Q85" i="9"/>
  <c r="I49" i="9"/>
  <c r="D63" i="9"/>
  <c r="I48" i="9" s="1"/>
  <c r="J48" i="9" s="1"/>
  <c r="Q47" i="9"/>
  <c r="Q45" i="9"/>
  <c r="Q52" i="9"/>
  <c r="Q48" i="9"/>
  <c r="Q50" i="9"/>
  <c r="Q46" i="9"/>
  <c r="F138" i="9"/>
  <c r="E156" i="9"/>
  <c r="B158" i="9" s="1"/>
  <c r="I81" i="9"/>
  <c r="D95" i="9"/>
  <c r="I80" i="9" s="1"/>
  <c r="J80" i="9" s="1"/>
  <c r="J44" i="9"/>
  <c r="K44" i="9" s="1"/>
  <c r="M44" i="9" s="1"/>
  <c r="I47" i="9"/>
  <c r="J47" i="9" s="1"/>
  <c r="K47" i="9" s="1"/>
  <c r="M47" i="9" s="1"/>
  <c r="P105" i="9"/>
  <c r="P109" i="9"/>
  <c r="B159" i="9" l="1"/>
  <c r="I142" i="9"/>
  <c r="J142" i="9" s="1"/>
  <c r="K142" i="9" s="1"/>
  <c r="M142" i="9" s="1"/>
  <c r="D159" i="9"/>
  <c r="I140" i="9" s="1"/>
  <c r="J140" i="9" s="1"/>
  <c r="K140" i="9" s="1"/>
  <c r="M140" i="9" s="1"/>
  <c r="B160" i="9"/>
  <c r="I141" i="9" s="1"/>
  <c r="J108" i="9"/>
  <c r="K108" i="9" s="1"/>
  <c r="M108" i="9" s="1"/>
  <c r="I111" i="9"/>
  <c r="J111" i="9" s="1"/>
  <c r="K111" i="9" s="1"/>
  <c r="M111" i="9" s="1"/>
  <c r="I143" i="9"/>
  <c r="J143" i="9" s="1"/>
  <c r="K143" i="9" s="1"/>
  <c r="M143" i="9" s="1"/>
  <c r="Q105" i="9"/>
  <c r="Q270" i="9"/>
  <c r="Q269" i="9"/>
  <c r="Q106" i="9"/>
  <c r="Q116" i="9"/>
  <c r="Q281" i="9"/>
  <c r="Q109" i="9"/>
  <c r="Q280" i="9"/>
  <c r="Q276" i="9"/>
  <c r="Q274" i="9"/>
  <c r="Q273" i="9"/>
  <c r="Q275" i="9"/>
  <c r="Q278" i="9"/>
  <c r="Q277" i="9"/>
  <c r="Q279" i="9"/>
  <c r="Q115" i="9"/>
  <c r="Q112" i="9"/>
  <c r="Q113" i="9"/>
  <c r="Q110" i="9"/>
  <c r="Q114" i="9"/>
  <c r="Q111" i="9"/>
  <c r="Q117" i="9"/>
  <c r="H84" i="9"/>
  <c r="H82" i="9"/>
  <c r="P86" i="9"/>
  <c r="H83" i="9"/>
  <c r="P76" i="9"/>
  <c r="P87" i="9"/>
  <c r="P75" i="9"/>
  <c r="P142" i="9"/>
  <c r="P138" i="9"/>
  <c r="H51" i="9"/>
  <c r="P54" i="9"/>
  <c r="P43" i="9"/>
  <c r="H50" i="9"/>
  <c r="H52" i="9"/>
  <c r="P55" i="9"/>
  <c r="P44" i="9"/>
  <c r="I113" i="9"/>
  <c r="D127" i="9"/>
  <c r="I112" i="9" s="1"/>
  <c r="J112" i="9" s="1"/>
  <c r="H114" i="9" l="1"/>
  <c r="P119" i="9"/>
  <c r="H115" i="9"/>
  <c r="P118" i="9"/>
  <c r="P107" i="9"/>
  <c r="H116" i="9"/>
  <c r="P108" i="9"/>
  <c r="J141" i="9"/>
  <c r="K141" i="9" s="1"/>
  <c r="M141" i="9" s="1"/>
  <c r="I144" i="9"/>
  <c r="J144" i="9" s="1"/>
  <c r="K144" i="9" s="1"/>
  <c r="M144" i="9" s="1"/>
  <c r="Q142" i="9"/>
  <c r="Q313" i="9"/>
  <c r="Q314" i="9"/>
  <c r="Q309" i="9"/>
  <c r="Q308" i="9"/>
  <c r="Q312" i="9"/>
  <c r="Q307" i="9"/>
  <c r="Q310" i="9"/>
  <c r="Q311" i="9"/>
  <c r="Q306" i="9"/>
  <c r="Q145" i="9"/>
  <c r="Q143" i="9"/>
  <c r="Q150" i="9"/>
  <c r="Q149" i="9"/>
  <c r="Q147" i="9"/>
  <c r="Q148" i="9"/>
  <c r="Q146" i="9"/>
  <c r="Q144" i="9"/>
  <c r="I146" i="9"/>
  <c r="D160" i="9"/>
  <c r="I145" i="9" s="1"/>
  <c r="J145" i="9" s="1"/>
  <c r="Q302" i="9"/>
  <c r="Q303" i="9"/>
  <c r="Q139" i="9"/>
  <c r="Q138" i="9"/>
  <c r="H147" i="9" l="1"/>
  <c r="P141" i="9"/>
  <c r="P140" i="9"/>
  <c r="P152" i="9"/>
  <c r="P151" i="9"/>
  <c r="H148" i="9"/>
  <c r="H149" i="9"/>
</calcChain>
</file>

<file path=xl/sharedStrings.xml><?xml version="1.0" encoding="utf-8"?>
<sst xmlns="http://schemas.openxmlformats.org/spreadsheetml/2006/main" count="3617" uniqueCount="130">
  <si>
    <t>Treatments</t>
  </si>
  <si>
    <t>Total Soil Water Extraction (mm)</t>
  </si>
  <si>
    <t>Total moisture depletion (mm)</t>
  </si>
  <si>
    <t>Depth of soil (cm)</t>
  </si>
  <si>
    <t>0-15</t>
  </si>
  <si>
    <t>15-30</t>
  </si>
  <si>
    <t>30-60</t>
  </si>
  <si>
    <t>60-90</t>
  </si>
  <si>
    <r>
      <t>P</t>
    </r>
    <r>
      <rPr>
        <vertAlign val="sub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 xml:space="preserve"> CT-TPR</t>
    </r>
  </si>
  <si>
    <r>
      <t>P</t>
    </r>
    <r>
      <rPr>
        <vertAlign val="subscript"/>
        <sz val="12"/>
        <color theme="1"/>
        <rFont val="Times New Roman"/>
        <family val="1"/>
      </rPr>
      <t xml:space="preserve">2 </t>
    </r>
    <r>
      <rPr>
        <sz val="12"/>
        <color theme="1"/>
        <rFont val="Times New Roman"/>
        <family val="1"/>
      </rPr>
      <t>WB-TPR</t>
    </r>
  </si>
  <si>
    <r>
      <t>P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RT-TPR</t>
    </r>
  </si>
  <si>
    <t>Mean</t>
  </si>
  <si>
    <t>Grain yield</t>
  </si>
  <si>
    <t>Main factors</t>
  </si>
  <si>
    <t xml:space="preserve">Sub factors </t>
  </si>
  <si>
    <t>Total factors</t>
  </si>
  <si>
    <t>Replications</t>
  </si>
  <si>
    <t>R1</t>
  </si>
  <si>
    <t>R2</t>
  </si>
  <si>
    <t>R3</t>
  </si>
  <si>
    <t>Total</t>
  </si>
  <si>
    <t>Factors Mean</t>
  </si>
  <si>
    <t>E1T1</t>
  </si>
  <si>
    <t>ANOVA</t>
  </si>
  <si>
    <t>E1T2</t>
  </si>
  <si>
    <t>df</t>
  </si>
  <si>
    <t>SS</t>
  </si>
  <si>
    <t>MSS</t>
  </si>
  <si>
    <t>Cal F</t>
  </si>
  <si>
    <t>Table F</t>
  </si>
  <si>
    <t>Result</t>
  </si>
  <si>
    <t>E1T3</t>
  </si>
  <si>
    <t>Replication</t>
  </si>
  <si>
    <t>SE.m</t>
  </si>
  <si>
    <t>E1T4</t>
  </si>
  <si>
    <t>Treatment</t>
  </si>
  <si>
    <t xml:space="preserve">Factor A </t>
  </si>
  <si>
    <t>CD</t>
  </si>
  <si>
    <t>E1T5</t>
  </si>
  <si>
    <t>Factor A</t>
  </si>
  <si>
    <t>E1T6</t>
  </si>
  <si>
    <t>Factor B</t>
  </si>
  <si>
    <t>E1T7</t>
  </si>
  <si>
    <t>A*B</t>
  </si>
  <si>
    <t>E1T8</t>
  </si>
  <si>
    <t>Error</t>
  </si>
  <si>
    <t>E1T9</t>
  </si>
  <si>
    <t>t34=</t>
  </si>
  <si>
    <t>E2T1</t>
  </si>
  <si>
    <t>E2T2</t>
  </si>
  <si>
    <t>E2T3</t>
  </si>
  <si>
    <t>CV</t>
  </si>
  <si>
    <t>E2T4</t>
  </si>
  <si>
    <t>E2T5</t>
  </si>
  <si>
    <t>Difference</t>
  </si>
  <si>
    <t>E2T6</t>
  </si>
  <si>
    <t>E2T7</t>
  </si>
  <si>
    <t>E2T8</t>
  </si>
  <si>
    <t>E2T9</t>
  </si>
  <si>
    <t>CF</t>
  </si>
  <si>
    <t>TSSQ</t>
  </si>
  <si>
    <t>RSSQ</t>
  </si>
  <si>
    <t>tSSQ</t>
  </si>
  <si>
    <t>ESSQ</t>
  </si>
  <si>
    <t>Straw yield</t>
  </si>
  <si>
    <t>Biological yield</t>
  </si>
  <si>
    <t>Harvest Index</t>
  </si>
  <si>
    <t>(mm)</t>
  </si>
  <si>
    <t>m3</t>
  </si>
  <si>
    <t>GRAIN YIELD</t>
  </si>
  <si>
    <t>q/ha</t>
  </si>
  <si>
    <t>kg/ha</t>
  </si>
  <si>
    <t>water applied</t>
  </si>
  <si>
    <t>Water productivity</t>
  </si>
  <si>
    <t>grain yield t/ha</t>
  </si>
  <si>
    <t>Blue water foot print</t>
  </si>
  <si>
    <t>Green water foot print</t>
  </si>
  <si>
    <t>Grey water foot print</t>
  </si>
  <si>
    <t>BD</t>
  </si>
  <si>
    <t>0-5 cm</t>
  </si>
  <si>
    <t>5-10 cm</t>
  </si>
  <si>
    <t>10-15 cm</t>
  </si>
  <si>
    <t>15-20cm</t>
  </si>
  <si>
    <t>Infiltartion rate</t>
  </si>
  <si>
    <t>5-15 cm</t>
  </si>
  <si>
    <t>15-30 cm</t>
  </si>
  <si>
    <t>EC</t>
  </si>
  <si>
    <t>PH</t>
  </si>
  <si>
    <t xml:space="preserve">Nutrient applied 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</si>
  <si>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</si>
  <si>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</si>
  <si>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</si>
  <si>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</si>
  <si>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</si>
  <si>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</si>
  <si>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</si>
  <si>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</si>
  <si>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</si>
  <si>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WP</t>
  </si>
  <si>
    <t>WF</t>
  </si>
  <si>
    <t>Blue</t>
  </si>
  <si>
    <t>green</t>
  </si>
  <si>
    <t>grey</t>
  </si>
  <si>
    <t>total</t>
  </si>
  <si>
    <t xml:space="preserve"> </t>
  </si>
  <si>
    <t>Rainfall (mm)</t>
  </si>
  <si>
    <t>Week</t>
  </si>
  <si>
    <t>T max</t>
  </si>
  <si>
    <t>T min</t>
  </si>
  <si>
    <t>RH1</t>
  </si>
  <si>
    <t>RH2</t>
  </si>
  <si>
    <t>WS</t>
  </si>
  <si>
    <t>WD</t>
  </si>
  <si>
    <t>BSS</t>
  </si>
  <si>
    <t>Rainfall</t>
  </si>
  <si>
    <t>IRRI</t>
  </si>
  <si>
    <t>RF</t>
  </si>
  <si>
    <t>TWU_V</t>
  </si>
  <si>
    <t>PERCOLATION</t>
  </si>
  <si>
    <t>WF+E</t>
  </si>
  <si>
    <t>E</t>
  </si>
  <si>
    <t>Total WF</t>
  </si>
  <si>
    <t>TMA_V</t>
  </si>
  <si>
    <t>Percolation</t>
  </si>
  <si>
    <t>Avg</t>
  </si>
  <si>
    <t>WP-E</t>
  </si>
  <si>
    <t>WP E</t>
  </si>
  <si>
    <t>wp Total</t>
  </si>
  <si>
    <t>wp irri</t>
  </si>
  <si>
    <t>WP Irri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</si>
</sst>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.000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20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Times New Roman"/>
      <family val="1"/>
    </font>
    <font>
      <b/>
      <sz val="24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Times New Roman"/>
      <family val="1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0" fontId="16" fillId="0" borderId="0"/>
  </cellStyleXfs>
  <cellXfs count="88">
    <xf numFmtId="0" fontId="0" fillId="0" borderId="0" xfId="0"/>
    <xf numFmtId="0" fontId="4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8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center"/>
    </xf>
    <xf numFmtId="1" fontId="3" fillId="0" borderId="7" xfId="0" applyNumberFormat="1" applyFont="1" applyBorder="1" applyAlignment="1">
      <alignment horizontal="center" vertical="top" wrapText="1"/>
    </xf>
    <xf numFmtId="1" fontId="7" fillId="0" borderId="7" xfId="0" applyNumberFormat="1" applyFont="1" applyBorder="1" applyAlignment="1">
      <alignment horizontal="center" vertical="top" wrapText="1"/>
    </xf>
    <xf numFmtId="164" fontId="9" fillId="0" borderId="0" xfId="0" applyNumberFormat="1" applyFont="1"/>
    <xf numFmtId="164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1" fillId="0" borderId="0" xfId="0" applyFont="1"/>
    <xf numFmtId="164" fontId="9" fillId="0" borderId="0" xfId="0" applyNumberFormat="1" applyFont="1" applyBorder="1"/>
    <xf numFmtId="1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164" fontId="12" fillId="0" borderId="10" xfId="0" applyNumberFormat="1" applyFont="1" applyBorder="1"/>
    <xf numFmtId="164" fontId="1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13" fillId="0" borderId="0" xfId="0" applyNumberFormat="1" applyFont="1" applyBorder="1"/>
    <xf numFmtId="164" fontId="12" fillId="0" borderId="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11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9" fillId="0" borderId="0" xfId="0" applyNumberFormat="1" applyFont="1"/>
    <xf numFmtId="1" fontId="17" fillId="0" borderId="0" xfId="0" applyNumberFormat="1" applyFont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0" fillId="0" borderId="10" xfId="0" applyBorder="1"/>
    <xf numFmtId="2" fontId="0" fillId="0" borderId="10" xfId="0" applyNumberFormat="1" applyBorder="1" applyAlignment="1">
      <alignment horizontal="center"/>
    </xf>
    <xf numFmtId="0" fontId="18" fillId="0" borderId="0" xfId="0" applyFont="1"/>
    <xf numFmtId="164" fontId="17" fillId="0" borderId="0" xfId="0" applyNumberFormat="1" applyFont="1" applyAlignment="1">
      <alignment horizontal="center"/>
    </xf>
    <xf numFmtId="0" fontId="19" fillId="0" borderId="0" xfId="0" applyFont="1"/>
    <xf numFmtId="0" fontId="20" fillId="0" borderId="0" xfId="0" applyFont="1"/>
    <xf numFmtId="0" fontId="0" fillId="2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64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/>
    <xf numFmtId="2" fontId="0" fillId="0" borderId="0" xfId="0" applyNumberFormat="1"/>
    <xf numFmtId="0" fontId="1" fillId="0" borderId="0" xfId="0" applyFont="1"/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2" fillId="0" borderId="10" xfId="0" applyFont="1" applyBorder="1" applyAlignment="1">
      <alignment horizontal="center"/>
    </xf>
    <xf numFmtId="1" fontId="1" fillId="0" borderId="0" xfId="0" applyNumberFormat="1" applyFont="1"/>
    <xf numFmtId="164" fontId="1" fillId="0" borderId="0" xfId="0" applyNumberFormat="1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4" fontId="22" fillId="5" borderId="0" xfId="0" applyNumberFormat="1" applyFont="1" applyFill="1" applyAlignment="1">
      <alignment horizontal="center"/>
    </xf>
    <xf numFmtId="1" fontId="17" fillId="5" borderId="0" xfId="0" applyNumberFormat="1" applyFont="1" applyFill="1" applyAlignment="1">
      <alignment horizontal="center"/>
    </xf>
    <xf numFmtId="0" fontId="11" fillId="5" borderId="0" xfId="0" applyFont="1" applyFill="1"/>
    <xf numFmtId="1" fontId="10" fillId="5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9" fillId="5" borderId="0" xfId="0" applyFont="1" applyFill="1"/>
    <xf numFmtId="1" fontId="21" fillId="5" borderId="0" xfId="0" applyNumberFormat="1" applyFont="1" applyFill="1" applyAlignment="1">
      <alignment horizontal="center"/>
    </xf>
    <xf numFmtId="0" fontId="9" fillId="0" borderId="0" xfId="0" applyFont="1" applyBorder="1" applyAlignment="1">
      <alignment horizontal="center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114"/>
  <sheetViews>
    <sheetView topLeftCell="J72" workbookViewId="0">
      <selection activeCell="V47" sqref="V47:X64"/>
    </sheetView>
  </sheetViews>
  <sheetFormatPr defaultRowHeight="15" x14ac:dyDescent="0.25"/>
  <cols>
    <col min="14" max="14" width="11.5703125" bestFit="1" customWidth="1"/>
  </cols>
  <sheetData>
    <row r="1" spans="2:23" x14ac:dyDescent="0.25">
      <c r="U1" s="35" t="s">
        <v>116</v>
      </c>
    </row>
    <row r="2" spans="2:23" ht="30" x14ac:dyDescent="0.4">
      <c r="N2" s="57">
        <v>2019</v>
      </c>
      <c r="U2" s="66">
        <v>2019</v>
      </c>
      <c r="V2" s="66">
        <v>2020</v>
      </c>
    </row>
    <row r="3" spans="2:23" x14ac:dyDescent="0.25">
      <c r="U3">
        <v>587.59999999999991</v>
      </c>
      <c r="V3">
        <v>369.8</v>
      </c>
    </row>
    <row r="4" spans="2:23" x14ac:dyDescent="0.25">
      <c r="R4" s="65" t="s">
        <v>115</v>
      </c>
    </row>
    <row r="5" spans="2:23" x14ac:dyDescent="0.25">
      <c r="E5" s="49" t="s">
        <v>69</v>
      </c>
      <c r="F5" s="49"/>
      <c r="G5" s="49"/>
      <c r="H5" s="49"/>
      <c r="I5" s="49" t="s">
        <v>69</v>
      </c>
      <c r="J5" s="49"/>
      <c r="K5" s="49"/>
      <c r="L5" s="49"/>
      <c r="M5" s="49" t="s">
        <v>72</v>
      </c>
      <c r="N5" s="49"/>
      <c r="O5" s="49"/>
      <c r="P5" s="49"/>
      <c r="Q5" s="49"/>
      <c r="R5" s="49" t="s">
        <v>73</v>
      </c>
      <c r="S5" s="49"/>
    </row>
    <row r="6" spans="2:23" x14ac:dyDescent="0.25">
      <c r="E6" t="s">
        <v>70</v>
      </c>
      <c r="I6" t="s">
        <v>71</v>
      </c>
      <c r="M6" s="35" t="s">
        <v>67</v>
      </c>
    </row>
    <row r="7" spans="2:23" x14ac:dyDescent="0.25">
      <c r="B7" s="27" t="s">
        <v>22</v>
      </c>
      <c r="D7" s="7">
        <v>26.5</v>
      </c>
      <c r="E7" s="7">
        <v>23.6</v>
      </c>
      <c r="F7" s="7">
        <v>21.56</v>
      </c>
      <c r="G7" s="7"/>
      <c r="H7">
        <f>D7*100</f>
        <v>2650</v>
      </c>
      <c r="I7">
        <f t="shared" ref="I7:J22" si="0">E7*100</f>
        <v>2360</v>
      </c>
      <c r="J7">
        <f t="shared" si="0"/>
        <v>2156</v>
      </c>
      <c r="L7" s="9">
        <v>1250</v>
      </c>
      <c r="M7" s="9">
        <v>1250</v>
      </c>
      <c r="N7" s="9">
        <v>1250</v>
      </c>
      <c r="Q7" s="7">
        <f>H7/L7</f>
        <v>2.12</v>
      </c>
      <c r="R7" s="7">
        <f t="shared" ref="R7:S22" si="1">I7/M7</f>
        <v>1.8879999999999999</v>
      </c>
      <c r="S7" s="7">
        <f t="shared" si="1"/>
        <v>1.7248000000000001</v>
      </c>
      <c r="U7">
        <v>587.59999999999991</v>
      </c>
      <c r="V7" s="48"/>
      <c r="W7" s="48">
        <f>L7-Q7</f>
        <v>1247.8800000000001</v>
      </c>
    </row>
    <row r="8" spans="2:23" x14ac:dyDescent="0.25">
      <c r="B8" s="27" t="s">
        <v>24</v>
      </c>
      <c r="D8" s="7">
        <v>38.9</v>
      </c>
      <c r="E8" s="7">
        <v>42.2</v>
      </c>
      <c r="F8" s="7">
        <v>43.5</v>
      </c>
      <c r="G8" s="7"/>
      <c r="H8">
        <f t="shared" ref="H8:J24" si="2">D8*100</f>
        <v>3890</v>
      </c>
      <c r="I8">
        <f t="shared" si="0"/>
        <v>4220</v>
      </c>
      <c r="J8">
        <f t="shared" si="0"/>
        <v>4350</v>
      </c>
      <c r="L8" s="9">
        <v>1200</v>
      </c>
      <c r="M8" s="9">
        <v>1200</v>
      </c>
      <c r="N8" s="9">
        <v>1200</v>
      </c>
      <c r="Q8" s="7">
        <f t="shared" ref="Q8:S24" si="3">H8/L8</f>
        <v>3.2416666666666667</v>
      </c>
      <c r="R8" s="7">
        <f t="shared" si="1"/>
        <v>3.5166666666666666</v>
      </c>
      <c r="S8" s="7">
        <f t="shared" si="1"/>
        <v>3.625</v>
      </c>
      <c r="U8">
        <v>587.59999999999991</v>
      </c>
      <c r="V8" s="48"/>
      <c r="W8" s="48"/>
    </row>
    <row r="9" spans="2:23" x14ac:dyDescent="0.25">
      <c r="B9" s="27" t="s">
        <v>31</v>
      </c>
      <c r="D9" s="7">
        <v>48.6</v>
      </c>
      <c r="E9" s="7">
        <v>47.56</v>
      </c>
      <c r="F9" s="7">
        <v>45.8</v>
      </c>
      <c r="G9" s="7"/>
      <c r="H9">
        <f t="shared" si="2"/>
        <v>4860</v>
      </c>
      <c r="I9">
        <f t="shared" si="0"/>
        <v>4756</v>
      </c>
      <c r="J9">
        <f t="shared" si="0"/>
        <v>4580</v>
      </c>
      <c r="L9" s="9">
        <v>1190</v>
      </c>
      <c r="M9" s="9">
        <v>1190</v>
      </c>
      <c r="N9" s="9">
        <v>1190</v>
      </c>
      <c r="Q9" s="7">
        <f t="shared" si="3"/>
        <v>4.0840336134453779</v>
      </c>
      <c r="R9" s="7">
        <f t="shared" si="1"/>
        <v>3.9966386554621849</v>
      </c>
      <c r="S9" s="7">
        <f t="shared" si="1"/>
        <v>3.8487394957983194</v>
      </c>
      <c r="U9">
        <v>587.59999999999991</v>
      </c>
    </row>
    <row r="10" spans="2:23" x14ac:dyDescent="0.25">
      <c r="B10" s="27" t="s">
        <v>34</v>
      </c>
      <c r="D10" s="7">
        <v>38.6</v>
      </c>
      <c r="E10" s="7">
        <v>37.799999999999997</v>
      </c>
      <c r="F10" s="7">
        <v>36.200000000000003</v>
      </c>
      <c r="G10" s="7"/>
      <c r="H10">
        <f t="shared" si="2"/>
        <v>3860</v>
      </c>
      <c r="I10">
        <f t="shared" si="0"/>
        <v>3779.9999999999995</v>
      </c>
      <c r="J10">
        <f t="shared" si="0"/>
        <v>3620.0000000000005</v>
      </c>
      <c r="L10" s="9">
        <v>1170</v>
      </c>
      <c r="M10" s="9">
        <v>1170</v>
      </c>
      <c r="N10" s="9">
        <v>1170</v>
      </c>
      <c r="Q10" s="7">
        <f t="shared" si="3"/>
        <v>3.299145299145299</v>
      </c>
      <c r="R10" s="7">
        <f t="shared" si="1"/>
        <v>3.2307692307692304</v>
      </c>
      <c r="S10" s="7">
        <f t="shared" si="1"/>
        <v>3.0940170940170946</v>
      </c>
      <c r="U10">
        <v>587.59999999999991</v>
      </c>
    </row>
    <row r="11" spans="2:23" x14ac:dyDescent="0.25">
      <c r="B11" s="27" t="s">
        <v>38</v>
      </c>
      <c r="D11" s="7">
        <v>45.8</v>
      </c>
      <c r="E11" s="7">
        <v>47.6</v>
      </c>
      <c r="F11" s="7">
        <v>44.5</v>
      </c>
      <c r="G11" s="7"/>
      <c r="H11">
        <f t="shared" si="2"/>
        <v>4580</v>
      </c>
      <c r="I11">
        <f t="shared" si="0"/>
        <v>4760</v>
      </c>
      <c r="J11">
        <f t="shared" si="0"/>
        <v>4450</v>
      </c>
      <c r="L11" s="9">
        <v>1150</v>
      </c>
      <c r="M11" s="9">
        <v>1150</v>
      </c>
      <c r="N11" s="9">
        <v>1150</v>
      </c>
      <c r="Q11" s="7">
        <f t="shared" si="3"/>
        <v>3.982608695652174</v>
      </c>
      <c r="R11" s="7">
        <f t="shared" si="1"/>
        <v>4.1391304347826088</v>
      </c>
      <c r="S11" s="7">
        <f t="shared" si="1"/>
        <v>3.8695652173913042</v>
      </c>
      <c r="U11">
        <v>587.59999999999991</v>
      </c>
    </row>
    <row r="12" spans="2:23" x14ac:dyDescent="0.25">
      <c r="B12" s="27" t="s">
        <v>40</v>
      </c>
      <c r="D12" s="7">
        <v>51.8</v>
      </c>
      <c r="E12" s="7">
        <v>49.8</v>
      </c>
      <c r="F12" s="7">
        <v>47.8</v>
      </c>
      <c r="G12" s="7"/>
      <c r="H12">
        <f t="shared" si="2"/>
        <v>5180</v>
      </c>
      <c r="I12">
        <f t="shared" si="0"/>
        <v>4980</v>
      </c>
      <c r="J12">
        <f t="shared" si="0"/>
        <v>4780</v>
      </c>
      <c r="L12" s="9">
        <v>1060</v>
      </c>
      <c r="M12" s="9">
        <v>1060</v>
      </c>
      <c r="N12" s="9">
        <v>1060</v>
      </c>
      <c r="Q12" s="7">
        <f t="shared" si="3"/>
        <v>4.8867924528301883</v>
      </c>
      <c r="R12" s="7">
        <f t="shared" si="1"/>
        <v>4.6981132075471699</v>
      </c>
      <c r="S12" s="7">
        <f t="shared" si="1"/>
        <v>4.5094339622641506</v>
      </c>
      <c r="U12">
        <v>587.59999999999991</v>
      </c>
    </row>
    <row r="13" spans="2:23" x14ac:dyDescent="0.25">
      <c r="B13" s="27" t="s">
        <v>42</v>
      </c>
      <c r="D13" s="7">
        <v>40.200000000000003</v>
      </c>
      <c r="E13" s="7">
        <v>39.5</v>
      </c>
      <c r="F13" s="7">
        <v>38.9</v>
      </c>
      <c r="G13" s="7"/>
      <c r="H13">
        <f t="shared" si="2"/>
        <v>4020.0000000000005</v>
      </c>
      <c r="I13">
        <f t="shared" si="0"/>
        <v>3950</v>
      </c>
      <c r="J13">
        <f t="shared" si="0"/>
        <v>3890</v>
      </c>
      <c r="L13" s="9">
        <v>1110</v>
      </c>
      <c r="M13" s="9">
        <v>1110</v>
      </c>
      <c r="N13" s="9">
        <v>1110</v>
      </c>
      <c r="Q13" s="7">
        <f t="shared" si="3"/>
        <v>3.6216216216216219</v>
      </c>
      <c r="R13" s="7">
        <f t="shared" si="1"/>
        <v>3.5585585585585586</v>
      </c>
      <c r="S13" s="7">
        <f t="shared" si="1"/>
        <v>3.5045045045045047</v>
      </c>
      <c r="U13">
        <v>587.59999999999991</v>
      </c>
    </row>
    <row r="14" spans="2:23" x14ac:dyDescent="0.25">
      <c r="B14" s="27" t="s">
        <v>44</v>
      </c>
      <c r="D14" s="7">
        <v>43.5</v>
      </c>
      <c r="E14" s="7">
        <v>42.5</v>
      </c>
      <c r="F14" s="7">
        <v>41.9</v>
      </c>
      <c r="G14" s="7"/>
      <c r="H14">
        <f t="shared" si="2"/>
        <v>4350</v>
      </c>
      <c r="I14">
        <f t="shared" si="0"/>
        <v>4250</v>
      </c>
      <c r="J14">
        <f t="shared" si="0"/>
        <v>4190</v>
      </c>
      <c r="L14" s="9">
        <v>1090</v>
      </c>
      <c r="M14" s="9">
        <v>1090</v>
      </c>
      <c r="N14" s="9">
        <v>1090</v>
      </c>
      <c r="Q14" s="7">
        <f t="shared" si="3"/>
        <v>3.9908256880733943</v>
      </c>
      <c r="R14" s="7">
        <f t="shared" si="1"/>
        <v>3.8990825688073394</v>
      </c>
      <c r="S14" s="7">
        <f t="shared" si="1"/>
        <v>3.8440366972477062</v>
      </c>
      <c r="U14">
        <v>587.59999999999991</v>
      </c>
    </row>
    <row r="15" spans="2:23" x14ac:dyDescent="0.25">
      <c r="B15" s="27" t="s">
        <v>46</v>
      </c>
      <c r="D15" s="7">
        <v>36.5</v>
      </c>
      <c r="E15" s="7">
        <v>35.700000000000003</v>
      </c>
      <c r="F15" s="7">
        <v>34.799999999999997</v>
      </c>
      <c r="G15" s="7"/>
      <c r="H15">
        <f t="shared" si="2"/>
        <v>3650</v>
      </c>
      <c r="I15">
        <f t="shared" si="0"/>
        <v>3570.0000000000005</v>
      </c>
      <c r="J15">
        <f t="shared" si="0"/>
        <v>3479.9999999999995</v>
      </c>
      <c r="L15" s="9">
        <v>1050</v>
      </c>
      <c r="M15" s="9">
        <v>1050</v>
      </c>
      <c r="N15" s="9">
        <v>1050</v>
      </c>
      <c r="Q15" s="7">
        <f t="shared" si="3"/>
        <v>3.4761904761904763</v>
      </c>
      <c r="R15" s="7">
        <f t="shared" si="1"/>
        <v>3.4000000000000004</v>
      </c>
      <c r="S15" s="7">
        <f t="shared" si="1"/>
        <v>3.3142857142857141</v>
      </c>
      <c r="U15">
        <v>587.59999999999991</v>
      </c>
    </row>
    <row r="16" spans="2:23" x14ac:dyDescent="0.25">
      <c r="B16" s="27" t="s">
        <v>48</v>
      </c>
      <c r="D16" s="7">
        <v>26.5</v>
      </c>
      <c r="E16" s="7">
        <v>15.6</v>
      </c>
      <c r="F16" s="7">
        <v>22.6</v>
      </c>
      <c r="G16" s="7"/>
      <c r="H16">
        <f t="shared" si="2"/>
        <v>2650</v>
      </c>
      <c r="I16">
        <f t="shared" si="0"/>
        <v>1560</v>
      </c>
      <c r="J16">
        <f t="shared" si="0"/>
        <v>2260</v>
      </c>
      <c r="L16" s="9">
        <v>1090</v>
      </c>
      <c r="M16" s="9">
        <v>1090</v>
      </c>
      <c r="N16" s="9">
        <v>1090</v>
      </c>
      <c r="Q16" s="7">
        <f t="shared" si="3"/>
        <v>2.4311926605504586</v>
      </c>
      <c r="R16" s="7">
        <f t="shared" si="1"/>
        <v>1.4311926605504588</v>
      </c>
      <c r="S16" s="7">
        <f t="shared" si="1"/>
        <v>2.073394495412844</v>
      </c>
      <c r="U16">
        <v>587.59999999999991</v>
      </c>
    </row>
    <row r="17" spans="2:31" x14ac:dyDescent="0.25">
      <c r="B17" s="27" t="s">
        <v>49</v>
      </c>
      <c r="D17" s="7">
        <v>38.5</v>
      </c>
      <c r="E17" s="7">
        <v>36.4</v>
      </c>
      <c r="F17" s="7">
        <v>37.799999999999997</v>
      </c>
      <c r="G17" s="7"/>
      <c r="H17">
        <f t="shared" si="2"/>
        <v>3850</v>
      </c>
      <c r="I17">
        <f t="shared" si="0"/>
        <v>3640</v>
      </c>
      <c r="J17">
        <f t="shared" si="0"/>
        <v>3779.9999999999995</v>
      </c>
      <c r="L17" s="9">
        <v>1060</v>
      </c>
      <c r="M17" s="9">
        <v>1060</v>
      </c>
      <c r="N17" s="9">
        <v>1060</v>
      </c>
      <c r="Q17" s="7">
        <f t="shared" si="3"/>
        <v>3.6320754716981134</v>
      </c>
      <c r="R17" s="7">
        <f t="shared" si="1"/>
        <v>3.4339622641509435</v>
      </c>
      <c r="S17" s="7">
        <f t="shared" si="1"/>
        <v>3.566037735849056</v>
      </c>
      <c r="U17">
        <v>587.59999999999991</v>
      </c>
    </row>
    <row r="18" spans="2:31" x14ac:dyDescent="0.25">
      <c r="B18" s="27" t="s">
        <v>50</v>
      </c>
      <c r="D18" s="7">
        <v>47.8</v>
      </c>
      <c r="E18" s="7">
        <v>46.8</v>
      </c>
      <c r="F18" s="7">
        <v>44.8</v>
      </c>
      <c r="G18" s="7"/>
      <c r="H18">
        <f t="shared" si="2"/>
        <v>4780</v>
      </c>
      <c r="I18">
        <f t="shared" si="0"/>
        <v>4680</v>
      </c>
      <c r="J18">
        <f t="shared" si="0"/>
        <v>4480</v>
      </c>
      <c r="L18" s="9">
        <v>1020</v>
      </c>
      <c r="M18" s="9">
        <v>1020</v>
      </c>
      <c r="N18" s="9">
        <v>1020</v>
      </c>
      <c r="Q18" s="7">
        <f t="shared" si="3"/>
        <v>4.6862745098039218</v>
      </c>
      <c r="R18" s="7">
        <f t="shared" si="1"/>
        <v>4.5882352941176467</v>
      </c>
      <c r="S18" s="7">
        <f t="shared" si="1"/>
        <v>4.3921568627450984</v>
      </c>
      <c r="U18">
        <v>587.59999999999991</v>
      </c>
    </row>
    <row r="19" spans="2:31" x14ac:dyDescent="0.25">
      <c r="B19" s="27" t="s">
        <v>52</v>
      </c>
      <c r="D19" s="7">
        <v>36.799999999999997</v>
      </c>
      <c r="E19" s="7">
        <v>35.9</v>
      </c>
      <c r="F19" s="7">
        <v>39.799999999999997</v>
      </c>
      <c r="G19" s="7"/>
      <c r="H19">
        <f t="shared" si="2"/>
        <v>3679.9999999999995</v>
      </c>
      <c r="I19">
        <f t="shared" si="0"/>
        <v>3590</v>
      </c>
      <c r="J19">
        <f t="shared" si="0"/>
        <v>3979.9999999999995</v>
      </c>
      <c r="L19" s="9">
        <v>990</v>
      </c>
      <c r="M19" s="9">
        <v>990</v>
      </c>
      <c r="N19" s="9">
        <v>990</v>
      </c>
      <c r="Q19" s="7">
        <f t="shared" si="3"/>
        <v>3.7171717171717167</v>
      </c>
      <c r="R19" s="7">
        <f t="shared" si="1"/>
        <v>3.6262626262626263</v>
      </c>
      <c r="S19" s="7">
        <f t="shared" si="1"/>
        <v>4.0202020202020199</v>
      </c>
      <c r="U19">
        <v>587.59999999999991</v>
      </c>
    </row>
    <row r="20" spans="2:31" x14ac:dyDescent="0.25">
      <c r="B20" s="27" t="s">
        <v>53</v>
      </c>
      <c r="D20" s="7">
        <v>36.5</v>
      </c>
      <c r="E20" s="7">
        <v>45.6</v>
      </c>
      <c r="F20" s="7">
        <v>42.5</v>
      </c>
      <c r="G20" s="7"/>
      <c r="H20">
        <f t="shared" si="2"/>
        <v>3650</v>
      </c>
      <c r="I20">
        <f t="shared" si="0"/>
        <v>4560</v>
      </c>
      <c r="J20">
        <f t="shared" si="0"/>
        <v>4250</v>
      </c>
      <c r="L20" s="9">
        <v>960</v>
      </c>
      <c r="M20" s="9">
        <v>960</v>
      </c>
      <c r="N20" s="9">
        <v>960</v>
      </c>
      <c r="Q20" s="7">
        <f t="shared" si="3"/>
        <v>3.8020833333333335</v>
      </c>
      <c r="R20" s="7">
        <f t="shared" si="1"/>
        <v>4.75</v>
      </c>
      <c r="S20" s="7">
        <f t="shared" si="1"/>
        <v>4.427083333333333</v>
      </c>
      <c r="U20">
        <v>587.59999999999991</v>
      </c>
    </row>
    <row r="21" spans="2:31" x14ac:dyDescent="0.25">
      <c r="B21" s="27" t="s">
        <v>55</v>
      </c>
      <c r="D21" s="7">
        <v>46.8</v>
      </c>
      <c r="E21" s="7">
        <v>50.8</v>
      </c>
      <c r="F21" s="7">
        <v>47.2</v>
      </c>
      <c r="G21" s="7"/>
      <c r="H21">
        <f t="shared" si="2"/>
        <v>4680</v>
      </c>
      <c r="I21">
        <f t="shared" si="0"/>
        <v>5080</v>
      </c>
      <c r="J21">
        <f t="shared" si="0"/>
        <v>4720</v>
      </c>
      <c r="L21" s="9">
        <v>840</v>
      </c>
      <c r="M21" s="9">
        <v>840</v>
      </c>
      <c r="N21" s="9">
        <v>840</v>
      </c>
      <c r="Q21" s="7">
        <f t="shared" si="3"/>
        <v>5.5714285714285712</v>
      </c>
      <c r="R21" s="7">
        <f t="shared" si="1"/>
        <v>6.0476190476190474</v>
      </c>
      <c r="S21" s="7">
        <f t="shared" si="1"/>
        <v>5.6190476190476186</v>
      </c>
      <c r="U21">
        <v>587.59999999999991</v>
      </c>
    </row>
    <row r="22" spans="2:31" x14ac:dyDescent="0.25">
      <c r="B22" s="27" t="s">
        <v>56</v>
      </c>
      <c r="D22" s="7">
        <v>37.9</v>
      </c>
      <c r="E22" s="7">
        <v>37.799999999999997</v>
      </c>
      <c r="F22" s="7">
        <v>36.799999999999997</v>
      </c>
      <c r="G22" s="7"/>
      <c r="H22">
        <f t="shared" si="2"/>
        <v>3790</v>
      </c>
      <c r="I22">
        <f t="shared" si="0"/>
        <v>3779.9999999999995</v>
      </c>
      <c r="J22">
        <f t="shared" si="0"/>
        <v>3679.9999999999995</v>
      </c>
      <c r="L22" s="9">
        <v>920</v>
      </c>
      <c r="M22" s="9">
        <v>920</v>
      </c>
      <c r="N22" s="9">
        <v>920</v>
      </c>
      <c r="Q22" s="7">
        <f t="shared" si="3"/>
        <v>4.1195652173913047</v>
      </c>
      <c r="R22" s="7">
        <f t="shared" si="1"/>
        <v>4.1086956521739122</v>
      </c>
      <c r="S22" s="7">
        <f t="shared" si="1"/>
        <v>3.9999999999999996</v>
      </c>
      <c r="U22">
        <v>587.59999999999991</v>
      </c>
    </row>
    <row r="23" spans="2:31" x14ac:dyDescent="0.25">
      <c r="B23" s="27" t="s">
        <v>57</v>
      </c>
      <c r="D23" s="7">
        <v>40.9</v>
      </c>
      <c r="E23" s="7">
        <v>41.8</v>
      </c>
      <c r="F23" s="7">
        <v>43.2</v>
      </c>
      <c r="G23" s="7"/>
      <c r="H23">
        <f t="shared" si="2"/>
        <v>4090</v>
      </c>
      <c r="I23">
        <f t="shared" si="2"/>
        <v>4180</v>
      </c>
      <c r="J23">
        <f t="shared" si="2"/>
        <v>4320</v>
      </c>
      <c r="L23" s="9">
        <v>880</v>
      </c>
      <c r="M23" s="9">
        <v>880</v>
      </c>
      <c r="N23" s="9">
        <v>880</v>
      </c>
      <c r="Q23" s="7">
        <f t="shared" si="3"/>
        <v>4.6477272727272725</v>
      </c>
      <c r="R23" s="7">
        <f t="shared" si="3"/>
        <v>4.75</v>
      </c>
      <c r="S23" s="7">
        <f t="shared" si="3"/>
        <v>4.9090909090909092</v>
      </c>
      <c r="U23">
        <v>587.59999999999991</v>
      </c>
    </row>
    <row r="24" spans="2:31" x14ac:dyDescent="0.25">
      <c r="B24" s="27" t="s">
        <v>58</v>
      </c>
      <c r="D24" s="7">
        <v>34.799999999999997</v>
      </c>
      <c r="E24" s="7">
        <v>37.6</v>
      </c>
      <c r="F24" s="7">
        <v>35.200000000000003</v>
      </c>
      <c r="G24" s="7"/>
      <c r="H24">
        <f t="shared" si="2"/>
        <v>3479.9999999999995</v>
      </c>
      <c r="I24">
        <f t="shared" si="2"/>
        <v>3760</v>
      </c>
      <c r="J24">
        <f t="shared" si="2"/>
        <v>3520.0000000000005</v>
      </c>
      <c r="L24" s="9">
        <v>827</v>
      </c>
      <c r="M24" s="9">
        <v>827</v>
      </c>
      <c r="N24" s="9">
        <v>827</v>
      </c>
      <c r="Q24" s="7">
        <f t="shared" si="3"/>
        <v>4.2079806529625143</v>
      </c>
      <c r="R24" s="7">
        <f t="shared" si="3"/>
        <v>4.5465538089480049</v>
      </c>
      <c r="S24" s="7">
        <f t="shared" si="3"/>
        <v>4.2563482466747287</v>
      </c>
      <c r="U24">
        <v>587.59999999999991</v>
      </c>
    </row>
    <row r="26" spans="2:31" x14ac:dyDescent="0.25">
      <c r="E26" s="49" t="s">
        <v>74</v>
      </c>
      <c r="M26" s="49" t="s">
        <v>68</v>
      </c>
      <c r="R26" s="35" t="s">
        <v>117</v>
      </c>
      <c r="U26" s="68"/>
      <c r="V26" s="66" t="s">
        <v>75</v>
      </c>
      <c r="W26" s="66"/>
      <c r="X26" s="66"/>
      <c r="Y26" s="66"/>
      <c r="Z26" s="66" t="s">
        <v>76</v>
      </c>
      <c r="AA26" s="66"/>
      <c r="AB26" s="66"/>
      <c r="AC26" s="66"/>
      <c r="AD26" s="66" t="s">
        <v>77</v>
      </c>
      <c r="AE26" s="68"/>
    </row>
    <row r="27" spans="2:31" x14ac:dyDescent="0.25">
      <c r="C27" s="27" t="s">
        <v>22</v>
      </c>
      <c r="D27">
        <f>D7/10</f>
        <v>2.65</v>
      </c>
      <c r="E27">
        <f t="shared" ref="E27:F27" si="4">E7/10</f>
        <v>2.3600000000000003</v>
      </c>
      <c r="F27">
        <f t="shared" si="4"/>
        <v>2.1559999999999997</v>
      </c>
      <c r="K27" s="27" t="s">
        <v>22</v>
      </c>
      <c r="L27" s="47">
        <f>(L7/1000)*10000</f>
        <v>12500</v>
      </c>
      <c r="M27" s="47">
        <f t="shared" ref="M27:N27" si="5">(M7/1000)*10000</f>
        <v>12500</v>
      </c>
      <c r="N27" s="47">
        <f t="shared" si="5"/>
        <v>12500</v>
      </c>
      <c r="Q27" s="48">
        <f>L27/D27</f>
        <v>4716.9811320754716</v>
      </c>
      <c r="R27" s="48">
        <f t="shared" ref="R27:S42" si="6">M27/E27</f>
        <v>5296.6101694915251</v>
      </c>
      <c r="S27" s="48">
        <f t="shared" si="6"/>
        <v>5797.7736549165129</v>
      </c>
      <c r="U27" s="69">
        <f>(Q27*93.62)/100</f>
        <v>4416.0377358490568</v>
      </c>
      <c r="V27" s="69">
        <f t="shared" ref="V27:W42" si="7">(R27*93.62)/100</f>
        <v>4958.6864406779659</v>
      </c>
      <c r="W27" s="69">
        <f t="shared" si="7"/>
        <v>5427.8756957328405</v>
      </c>
      <c r="X27" s="68"/>
      <c r="Y27" s="70">
        <f>(Q27*6.3)/100</f>
        <v>297.16981132075472</v>
      </c>
      <c r="Z27" s="70">
        <f t="shared" ref="Z27:AA42" si="8">(R27*6.3)/100</f>
        <v>333.68644067796612</v>
      </c>
      <c r="AA27" s="70">
        <f t="shared" si="8"/>
        <v>365.25974025974028</v>
      </c>
      <c r="AB27" s="68"/>
      <c r="AC27" s="70">
        <f>(Q27-(U27+Y27))</f>
        <v>3.7735849056598454</v>
      </c>
      <c r="AD27" s="70">
        <f t="shared" ref="AD27:AE42" si="9">(R27-(V27+Z27))</f>
        <v>4.2372881355931895</v>
      </c>
      <c r="AE27" s="70">
        <f t="shared" si="9"/>
        <v>4.6382189239320724</v>
      </c>
    </row>
    <row r="28" spans="2:31" x14ac:dyDescent="0.25">
      <c r="C28" s="27" t="s">
        <v>24</v>
      </c>
      <c r="D28">
        <f t="shared" ref="D28:F43" si="10">D8/10</f>
        <v>3.8899999999999997</v>
      </c>
      <c r="E28">
        <f t="shared" si="10"/>
        <v>4.2200000000000006</v>
      </c>
      <c r="F28">
        <f t="shared" si="10"/>
        <v>4.3499999999999996</v>
      </c>
      <c r="K28" s="27" t="s">
        <v>24</v>
      </c>
      <c r="L28" s="47">
        <f t="shared" ref="L28:N43" si="11">(L8/1000)*10000</f>
        <v>12000</v>
      </c>
      <c r="M28" s="47">
        <f t="shared" si="11"/>
        <v>12000</v>
      </c>
      <c r="N28" s="47">
        <f t="shared" si="11"/>
        <v>12000</v>
      </c>
      <c r="Q28" s="48">
        <f t="shared" ref="Q28:S44" si="12">L28/D28</f>
        <v>3084.8329048843189</v>
      </c>
      <c r="R28" s="48">
        <f t="shared" si="6"/>
        <v>2843.6018957345968</v>
      </c>
      <c r="S28" s="48">
        <f t="shared" si="6"/>
        <v>2758.6206896551726</v>
      </c>
      <c r="U28" s="69">
        <f t="shared" ref="U28:W44" si="13">(Q28*93.62)/100</f>
        <v>2888.0205655526993</v>
      </c>
      <c r="V28" s="69">
        <f t="shared" si="7"/>
        <v>2662.18009478673</v>
      </c>
      <c r="W28" s="69">
        <f t="shared" si="7"/>
        <v>2582.6206896551726</v>
      </c>
      <c r="X28" s="68"/>
      <c r="Y28" s="70">
        <f t="shared" ref="Y28:AA44" si="14">(Q28*6.3)/100</f>
        <v>194.34447300771208</v>
      </c>
      <c r="Z28" s="70">
        <f t="shared" si="8"/>
        <v>179.1469194312796</v>
      </c>
      <c r="AA28" s="70">
        <f t="shared" si="8"/>
        <v>173.79310344827587</v>
      </c>
      <c r="AB28" s="68"/>
      <c r="AC28" s="70">
        <f t="shared" ref="AC28:AE44" si="15">(Q28-(U28+Y28))</f>
        <v>2.4678663239074012</v>
      </c>
      <c r="AD28" s="70">
        <f t="shared" si="9"/>
        <v>2.2748815165873566</v>
      </c>
      <c r="AE28" s="70">
        <f t="shared" si="9"/>
        <v>2.206896551724185</v>
      </c>
    </row>
    <row r="29" spans="2:31" x14ac:dyDescent="0.25">
      <c r="C29" s="27" t="s">
        <v>31</v>
      </c>
      <c r="D29">
        <f t="shared" si="10"/>
        <v>4.8600000000000003</v>
      </c>
      <c r="E29">
        <f t="shared" si="10"/>
        <v>4.7560000000000002</v>
      </c>
      <c r="F29">
        <f t="shared" si="10"/>
        <v>4.58</v>
      </c>
      <c r="K29" s="27" t="s">
        <v>31</v>
      </c>
      <c r="L29" s="47">
        <f t="shared" si="11"/>
        <v>11900</v>
      </c>
      <c r="M29" s="47">
        <f t="shared" si="11"/>
        <v>11900</v>
      </c>
      <c r="N29" s="47">
        <f t="shared" si="11"/>
        <v>11900</v>
      </c>
      <c r="Q29" s="48">
        <f t="shared" si="12"/>
        <v>2448.5596707818927</v>
      </c>
      <c r="R29" s="48">
        <f t="shared" si="6"/>
        <v>2502.1026072329687</v>
      </c>
      <c r="S29" s="48">
        <f t="shared" si="6"/>
        <v>2598.2532751091703</v>
      </c>
      <c r="U29" s="69">
        <f t="shared" si="13"/>
        <v>2292.341563786008</v>
      </c>
      <c r="V29" s="69">
        <f t="shared" si="7"/>
        <v>2342.4684608915054</v>
      </c>
      <c r="W29" s="69">
        <f t="shared" si="7"/>
        <v>2432.4847161572052</v>
      </c>
      <c r="X29" s="68"/>
      <c r="Y29" s="70">
        <f t="shared" si="14"/>
        <v>154.25925925925924</v>
      </c>
      <c r="Z29" s="70">
        <f t="shared" si="8"/>
        <v>157.63246425567704</v>
      </c>
      <c r="AA29" s="70">
        <f t="shared" si="8"/>
        <v>163.68995633187774</v>
      </c>
      <c r="AB29" s="68"/>
      <c r="AC29" s="70">
        <f t="shared" si="15"/>
        <v>1.9588477366255574</v>
      </c>
      <c r="AD29" s="70">
        <f t="shared" si="9"/>
        <v>2.0016820857863422</v>
      </c>
      <c r="AE29" s="70">
        <f t="shared" si="9"/>
        <v>2.0786026200876222</v>
      </c>
    </row>
    <row r="30" spans="2:31" x14ac:dyDescent="0.25">
      <c r="C30" s="27" t="s">
        <v>34</v>
      </c>
      <c r="D30">
        <f t="shared" si="10"/>
        <v>3.8600000000000003</v>
      </c>
      <c r="E30">
        <f t="shared" si="10"/>
        <v>3.78</v>
      </c>
      <c r="F30">
        <f t="shared" si="10"/>
        <v>3.62</v>
      </c>
      <c r="K30" s="27" t="s">
        <v>34</v>
      </c>
      <c r="L30" s="47">
        <f t="shared" si="11"/>
        <v>11700</v>
      </c>
      <c r="M30" s="47">
        <f t="shared" si="11"/>
        <v>11700</v>
      </c>
      <c r="N30" s="47">
        <f t="shared" si="11"/>
        <v>11700</v>
      </c>
      <c r="Q30" s="48">
        <f t="shared" si="12"/>
        <v>3031.0880829015541</v>
      </c>
      <c r="R30" s="48">
        <f t="shared" si="6"/>
        <v>3095.2380952380954</v>
      </c>
      <c r="S30" s="48">
        <f t="shared" si="6"/>
        <v>3232.0441988950274</v>
      </c>
      <c r="U30" s="69">
        <f t="shared" si="13"/>
        <v>2837.7046632124348</v>
      </c>
      <c r="V30" s="69">
        <f t="shared" si="7"/>
        <v>2897.7619047619055</v>
      </c>
      <c r="W30" s="69">
        <f t="shared" si="7"/>
        <v>3025.8397790055251</v>
      </c>
      <c r="X30" s="68"/>
      <c r="Y30" s="70">
        <f t="shared" si="14"/>
        <v>190.95854922279793</v>
      </c>
      <c r="Z30" s="70">
        <f t="shared" si="8"/>
        <v>195</v>
      </c>
      <c r="AA30" s="70">
        <f t="shared" si="8"/>
        <v>203.61878453038673</v>
      </c>
      <c r="AB30" s="68"/>
      <c r="AC30" s="70">
        <f t="shared" si="15"/>
        <v>2.4248704663214085</v>
      </c>
      <c r="AD30" s="70">
        <f t="shared" si="9"/>
        <v>2.4761904761899132</v>
      </c>
      <c r="AE30" s="70">
        <f t="shared" si="9"/>
        <v>2.5856353591157131</v>
      </c>
    </row>
    <row r="31" spans="2:31" x14ac:dyDescent="0.25">
      <c r="C31" s="27" t="s">
        <v>38</v>
      </c>
      <c r="D31">
        <f t="shared" si="10"/>
        <v>4.58</v>
      </c>
      <c r="E31">
        <f t="shared" si="10"/>
        <v>4.76</v>
      </c>
      <c r="F31">
        <f t="shared" si="10"/>
        <v>4.45</v>
      </c>
      <c r="K31" s="27" t="s">
        <v>38</v>
      </c>
      <c r="L31" s="47">
        <f t="shared" si="11"/>
        <v>11500</v>
      </c>
      <c r="M31" s="47">
        <f t="shared" si="11"/>
        <v>11500</v>
      </c>
      <c r="N31" s="47">
        <f t="shared" si="11"/>
        <v>11500</v>
      </c>
      <c r="Q31" s="48">
        <f t="shared" si="12"/>
        <v>2510.9170305676857</v>
      </c>
      <c r="R31" s="48">
        <f t="shared" si="6"/>
        <v>2415.9663865546217</v>
      </c>
      <c r="S31" s="48">
        <f t="shared" si="6"/>
        <v>2584.2696629213483</v>
      </c>
      <c r="U31" s="69">
        <f t="shared" si="13"/>
        <v>2350.7205240174676</v>
      </c>
      <c r="V31" s="69">
        <f t="shared" si="7"/>
        <v>2261.8277310924368</v>
      </c>
      <c r="W31" s="69">
        <f t="shared" si="7"/>
        <v>2419.3932584269664</v>
      </c>
      <c r="X31" s="68"/>
      <c r="Y31" s="70">
        <f t="shared" si="14"/>
        <v>158.18777292576419</v>
      </c>
      <c r="Z31" s="70">
        <f t="shared" si="8"/>
        <v>152.20588235294116</v>
      </c>
      <c r="AA31" s="70">
        <f t="shared" si="8"/>
        <v>162.80898876404493</v>
      </c>
      <c r="AB31" s="68"/>
      <c r="AC31" s="70">
        <f t="shared" si="15"/>
        <v>2.0087336244537255</v>
      </c>
      <c r="AD31" s="70">
        <f t="shared" si="9"/>
        <v>1.9327731092439535</v>
      </c>
      <c r="AE31" s="70">
        <f t="shared" si="9"/>
        <v>2.0674157303369611</v>
      </c>
    </row>
    <row r="32" spans="2:31" x14ac:dyDescent="0.25">
      <c r="C32" s="27" t="s">
        <v>40</v>
      </c>
      <c r="D32">
        <f t="shared" si="10"/>
        <v>5.18</v>
      </c>
      <c r="E32">
        <f t="shared" si="10"/>
        <v>4.9799999999999995</v>
      </c>
      <c r="F32">
        <f t="shared" si="10"/>
        <v>4.7799999999999994</v>
      </c>
      <c r="K32" s="27" t="s">
        <v>40</v>
      </c>
      <c r="L32" s="47">
        <f t="shared" si="11"/>
        <v>10600</v>
      </c>
      <c r="M32" s="47">
        <f t="shared" si="11"/>
        <v>10600</v>
      </c>
      <c r="N32" s="47">
        <f t="shared" si="11"/>
        <v>10600</v>
      </c>
      <c r="Q32" s="48">
        <f t="shared" si="12"/>
        <v>2046.3320463320465</v>
      </c>
      <c r="R32" s="48">
        <f t="shared" si="6"/>
        <v>2128.5140562248998</v>
      </c>
      <c r="S32" s="48">
        <f t="shared" si="6"/>
        <v>2217.5732217573227</v>
      </c>
      <c r="U32" s="69">
        <f t="shared" si="13"/>
        <v>1915.7760617760621</v>
      </c>
      <c r="V32" s="69">
        <f t="shared" si="7"/>
        <v>1992.7148594377513</v>
      </c>
      <c r="W32" s="69">
        <f t="shared" si="7"/>
        <v>2076.0920502092054</v>
      </c>
      <c r="X32" s="68"/>
      <c r="Y32" s="70">
        <f t="shared" si="14"/>
        <v>128.91891891891893</v>
      </c>
      <c r="Z32" s="70">
        <f t="shared" si="8"/>
        <v>134.09638554216869</v>
      </c>
      <c r="AA32" s="70">
        <f t="shared" si="8"/>
        <v>139.70711297071134</v>
      </c>
      <c r="AB32" s="68"/>
      <c r="AC32" s="70">
        <f t="shared" si="15"/>
        <v>1.6370656370654615</v>
      </c>
      <c r="AD32" s="70">
        <f t="shared" si="9"/>
        <v>1.7028112449797845</v>
      </c>
      <c r="AE32" s="70">
        <f t="shared" si="9"/>
        <v>1.7740585774058673</v>
      </c>
    </row>
    <row r="33" spans="3:48" x14ac:dyDescent="0.25">
      <c r="C33" s="27" t="s">
        <v>42</v>
      </c>
      <c r="D33">
        <f t="shared" si="10"/>
        <v>4.0200000000000005</v>
      </c>
      <c r="E33">
        <f t="shared" si="10"/>
        <v>3.95</v>
      </c>
      <c r="F33">
        <f t="shared" si="10"/>
        <v>3.8899999999999997</v>
      </c>
      <c r="K33" s="27" t="s">
        <v>42</v>
      </c>
      <c r="L33" s="47">
        <f t="shared" si="11"/>
        <v>11100.000000000002</v>
      </c>
      <c r="M33" s="47">
        <f t="shared" si="11"/>
        <v>11100.000000000002</v>
      </c>
      <c r="N33" s="47">
        <f t="shared" si="11"/>
        <v>11100.000000000002</v>
      </c>
      <c r="Q33" s="48">
        <f t="shared" si="12"/>
        <v>2761.1940298507466</v>
      </c>
      <c r="R33" s="48">
        <f t="shared" si="6"/>
        <v>2810.1265822784812</v>
      </c>
      <c r="S33" s="48">
        <f t="shared" si="6"/>
        <v>2853.4704370179957</v>
      </c>
      <c r="U33" s="69">
        <f t="shared" si="13"/>
        <v>2585.0298507462689</v>
      </c>
      <c r="V33" s="69">
        <f t="shared" si="7"/>
        <v>2630.8405063291143</v>
      </c>
      <c r="W33" s="69">
        <f t="shared" si="7"/>
        <v>2671.4190231362472</v>
      </c>
      <c r="X33" s="68"/>
      <c r="Y33" s="70">
        <f t="shared" si="14"/>
        <v>173.95522388059703</v>
      </c>
      <c r="Z33" s="70">
        <f t="shared" si="8"/>
        <v>177.03797468354432</v>
      </c>
      <c r="AA33" s="70">
        <f t="shared" si="8"/>
        <v>179.76863753213374</v>
      </c>
      <c r="AB33" s="68"/>
      <c r="AC33" s="70">
        <f t="shared" si="15"/>
        <v>2.208955223880821</v>
      </c>
      <c r="AD33" s="70">
        <f t="shared" si="9"/>
        <v>2.2481012658226973</v>
      </c>
      <c r="AE33" s="70">
        <f t="shared" si="9"/>
        <v>2.2827763496147782</v>
      </c>
    </row>
    <row r="34" spans="3:48" x14ac:dyDescent="0.25">
      <c r="C34" s="27" t="s">
        <v>44</v>
      </c>
      <c r="D34">
        <f t="shared" si="10"/>
        <v>4.3499999999999996</v>
      </c>
      <c r="E34">
        <f t="shared" si="10"/>
        <v>4.25</v>
      </c>
      <c r="F34">
        <f t="shared" si="10"/>
        <v>4.1899999999999995</v>
      </c>
      <c r="K34" s="27" t="s">
        <v>44</v>
      </c>
      <c r="L34" s="47">
        <f t="shared" si="11"/>
        <v>10900</v>
      </c>
      <c r="M34" s="47">
        <f t="shared" si="11"/>
        <v>10900</v>
      </c>
      <c r="N34" s="47">
        <f t="shared" si="11"/>
        <v>10900</v>
      </c>
      <c r="Q34" s="48">
        <f t="shared" si="12"/>
        <v>2505.7471264367819</v>
      </c>
      <c r="R34" s="48">
        <f t="shared" si="6"/>
        <v>2564.705882352941</v>
      </c>
      <c r="S34" s="48">
        <f t="shared" si="6"/>
        <v>2601.4319809069216</v>
      </c>
      <c r="U34" s="69">
        <f t="shared" si="13"/>
        <v>2345.8804597701151</v>
      </c>
      <c r="V34" s="69">
        <f t="shared" si="7"/>
        <v>2401.0776470588235</v>
      </c>
      <c r="W34" s="69">
        <f t="shared" si="7"/>
        <v>2435.4606205250602</v>
      </c>
      <c r="X34" s="68"/>
      <c r="Y34" s="70">
        <f t="shared" si="14"/>
        <v>157.86206896551724</v>
      </c>
      <c r="Z34" s="70">
        <f t="shared" si="8"/>
        <v>161.57647058823528</v>
      </c>
      <c r="AA34" s="70">
        <f t="shared" si="8"/>
        <v>163.89021479713608</v>
      </c>
      <c r="AB34" s="68"/>
      <c r="AC34" s="70">
        <f t="shared" si="15"/>
        <v>2.0045977011495779</v>
      </c>
      <c r="AD34" s="70">
        <f t="shared" si="9"/>
        <v>2.0517647058823059</v>
      </c>
      <c r="AE34" s="70">
        <f t="shared" si="9"/>
        <v>2.0811455847251636</v>
      </c>
    </row>
    <row r="35" spans="3:48" x14ac:dyDescent="0.25">
      <c r="C35" s="27" t="s">
        <v>46</v>
      </c>
      <c r="D35">
        <f t="shared" si="10"/>
        <v>3.65</v>
      </c>
      <c r="E35">
        <f t="shared" si="10"/>
        <v>3.5700000000000003</v>
      </c>
      <c r="F35">
        <f t="shared" si="10"/>
        <v>3.4799999999999995</v>
      </c>
      <c r="K35" s="27" t="s">
        <v>46</v>
      </c>
      <c r="L35" s="47">
        <f t="shared" si="11"/>
        <v>10500</v>
      </c>
      <c r="M35" s="47">
        <f t="shared" si="11"/>
        <v>10500</v>
      </c>
      <c r="N35" s="47">
        <f t="shared" si="11"/>
        <v>10500</v>
      </c>
      <c r="Q35" s="48">
        <f t="shared" si="12"/>
        <v>2876.7123287671234</v>
      </c>
      <c r="R35" s="48">
        <f t="shared" si="6"/>
        <v>2941.1764705882351</v>
      </c>
      <c r="S35" s="48">
        <f t="shared" si="6"/>
        <v>3017.2413793103451</v>
      </c>
      <c r="U35" s="69">
        <f t="shared" si="13"/>
        <v>2693.178082191781</v>
      </c>
      <c r="V35" s="69">
        <f t="shared" si="7"/>
        <v>2753.5294117647059</v>
      </c>
      <c r="W35" s="69">
        <f t="shared" si="7"/>
        <v>2824.7413793103456</v>
      </c>
      <c r="X35" s="68"/>
      <c r="Y35" s="70">
        <f t="shared" si="14"/>
        <v>181.23287671232876</v>
      </c>
      <c r="Z35" s="70">
        <f t="shared" si="8"/>
        <v>185.29411764705881</v>
      </c>
      <c r="AA35" s="70">
        <f t="shared" si="8"/>
        <v>190.08620689655174</v>
      </c>
      <c r="AB35" s="68"/>
      <c r="AC35" s="70">
        <f t="shared" si="15"/>
        <v>2.3013698630138606</v>
      </c>
      <c r="AD35" s="70">
        <f t="shared" si="9"/>
        <v>2.3529411764702672</v>
      </c>
      <c r="AE35" s="70">
        <f t="shared" si="9"/>
        <v>2.4137931034479152</v>
      </c>
    </row>
    <row r="36" spans="3:48" x14ac:dyDescent="0.25">
      <c r="C36" s="27" t="s">
        <v>48</v>
      </c>
      <c r="D36">
        <f t="shared" si="10"/>
        <v>2.65</v>
      </c>
      <c r="E36">
        <f t="shared" si="10"/>
        <v>1.56</v>
      </c>
      <c r="F36">
        <f t="shared" si="10"/>
        <v>2.2600000000000002</v>
      </c>
      <c r="K36" s="27" t="s">
        <v>48</v>
      </c>
      <c r="L36" s="47">
        <f t="shared" si="11"/>
        <v>10900</v>
      </c>
      <c r="M36" s="47">
        <f t="shared" si="11"/>
        <v>10900</v>
      </c>
      <c r="N36" s="47">
        <f t="shared" si="11"/>
        <v>10900</v>
      </c>
      <c r="Q36" s="48">
        <f t="shared" si="12"/>
        <v>4113.2075471698117</v>
      </c>
      <c r="R36" s="48">
        <f t="shared" si="6"/>
        <v>6987.1794871794873</v>
      </c>
      <c r="S36" s="48">
        <f t="shared" si="6"/>
        <v>4823.0088495575219</v>
      </c>
      <c r="U36" s="69">
        <f t="shared" si="13"/>
        <v>3850.7849056603777</v>
      </c>
      <c r="V36" s="69">
        <f t="shared" si="7"/>
        <v>6541.3974358974365</v>
      </c>
      <c r="W36" s="69">
        <f t="shared" si="7"/>
        <v>4515.3008849557527</v>
      </c>
      <c r="X36" s="68"/>
      <c r="Y36" s="70">
        <f t="shared" si="14"/>
        <v>259.1320754716981</v>
      </c>
      <c r="Z36" s="70">
        <f t="shared" si="8"/>
        <v>440.19230769230768</v>
      </c>
      <c r="AA36" s="70">
        <f t="shared" si="8"/>
        <v>303.84955752212386</v>
      </c>
      <c r="AB36" s="68"/>
      <c r="AC36" s="70">
        <f t="shared" si="15"/>
        <v>3.2905660377355161</v>
      </c>
      <c r="AD36" s="70">
        <f t="shared" si="9"/>
        <v>5.5897435897431933</v>
      </c>
      <c r="AE36" s="70">
        <f t="shared" si="9"/>
        <v>3.858407079645076</v>
      </c>
    </row>
    <row r="37" spans="3:48" x14ac:dyDescent="0.25">
      <c r="C37" s="27" t="s">
        <v>49</v>
      </c>
      <c r="D37">
        <f t="shared" si="10"/>
        <v>3.85</v>
      </c>
      <c r="E37">
        <f t="shared" si="10"/>
        <v>3.6399999999999997</v>
      </c>
      <c r="F37">
        <f t="shared" si="10"/>
        <v>3.78</v>
      </c>
      <c r="K37" s="27" t="s">
        <v>49</v>
      </c>
      <c r="L37" s="47">
        <f t="shared" si="11"/>
        <v>10600</v>
      </c>
      <c r="M37" s="47">
        <f t="shared" si="11"/>
        <v>10600</v>
      </c>
      <c r="N37" s="47">
        <f t="shared" si="11"/>
        <v>10600</v>
      </c>
      <c r="Q37" s="48">
        <f t="shared" si="12"/>
        <v>2753.2467532467531</v>
      </c>
      <c r="R37" s="48">
        <f t="shared" si="6"/>
        <v>2912.0879120879122</v>
      </c>
      <c r="S37" s="48">
        <f t="shared" si="6"/>
        <v>2804.2328042328045</v>
      </c>
      <c r="U37" s="69">
        <f t="shared" si="13"/>
        <v>2577.5896103896102</v>
      </c>
      <c r="V37" s="69">
        <f t="shared" si="7"/>
        <v>2726.2967032967035</v>
      </c>
      <c r="W37" s="69">
        <f t="shared" si="7"/>
        <v>2625.3227513227521</v>
      </c>
      <c r="X37" s="68"/>
      <c r="Y37" s="70">
        <f t="shared" si="14"/>
        <v>173.45454545454544</v>
      </c>
      <c r="Z37" s="70">
        <f t="shared" si="8"/>
        <v>183.46153846153848</v>
      </c>
      <c r="AA37" s="70">
        <f t="shared" si="8"/>
        <v>176.66666666666669</v>
      </c>
      <c r="AB37" s="68"/>
      <c r="AC37" s="70">
        <f t="shared" si="15"/>
        <v>2.2025974025973483</v>
      </c>
      <c r="AD37" s="70">
        <f t="shared" si="9"/>
        <v>2.3296703296700798</v>
      </c>
      <c r="AE37" s="70">
        <f t="shared" si="9"/>
        <v>2.2433862433858849</v>
      </c>
    </row>
    <row r="38" spans="3:48" x14ac:dyDescent="0.25">
      <c r="C38" s="27" t="s">
        <v>50</v>
      </c>
      <c r="D38">
        <f t="shared" si="10"/>
        <v>4.7799999999999994</v>
      </c>
      <c r="E38">
        <f t="shared" si="10"/>
        <v>4.68</v>
      </c>
      <c r="F38">
        <f t="shared" si="10"/>
        <v>4.4799999999999995</v>
      </c>
      <c r="K38" s="27" t="s">
        <v>50</v>
      </c>
      <c r="L38" s="47">
        <f t="shared" si="11"/>
        <v>10200</v>
      </c>
      <c r="M38" s="47">
        <f t="shared" si="11"/>
        <v>10200</v>
      </c>
      <c r="N38" s="47">
        <f t="shared" si="11"/>
        <v>10200</v>
      </c>
      <c r="Q38" s="48">
        <f t="shared" si="12"/>
        <v>2133.8912133891217</v>
      </c>
      <c r="R38" s="48">
        <f t="shared" si="6"/>
        <v>2179.4871794871797</v>
      </c>
      <c r="S38" s="48">
        <f t="shared" si="6"/>
        <v>2276.7857142857147</v>
      </c>
      <c r="U38" s="69">
        <f t="shared" si="13"/>
        <v>1997.748953974896</v>
      </c>
      <c r="V38" s="69">
        <f t="shared" si="7"/>
        <v>2040.4358974358977</v>
      </c>
      <c r="W38" s="69">
        <f t="shared" si="7"/>
        <v>2131.5267857142862</v>
      </c>
      <c r="X38" s="68"/>
      <c r="Y38" s="70">
        <f t="shared" si="14"/>
        <v>134.43514644351467</v>
      </c>
      <c r="Z38" s="70">
        <f t="shared" si="8"/>
        <v>137.30769230769232</v>
      </c>
      <c r="AA38" s="70">
        <f t="shared" si="8"/>
        <v>143.43750000000003</v>
      </c>
      <c r="AB38" s="68"/>
      <c r="AC38" s="70">
        <f t="shared" si="15"/>
        <v>1.7071129707110231</v>
      </c>
      <c r="AD38" s="70">
        <f t="shared" si="9"/>
        <v>1.7435897435898369</v>
      </c>
      <c r="AE38" s="70">
        <f t="shared" si="9"/>
        <v>1.8214285714284415</v>
      </c>
    </row>
    <row r="39" spans="3:48" x14ac:dyDescent="0.25">
      <c r="C39" s="27" t="s">
        <v>52</v>
      </c>
      <c r="D39">
        <f t="shared" si="10"/>
        <v>3.6799999999999997</v>
      </c>
      <c r="E39">
        <f t="shared" si="10"/>
        <v>3.59</v>
      </c>
      <c r="F39">
        <f t="shared" si="10"/>
        <v>3.9799999999999995</v>
      </c>
      <c r="K39" s="27" t="s">
        <v>52</v>
      </c>
      <c r="L39" s="47">
        <f t="shared" si="11"/>
        <v>9900</v>
      </c>
      <c r="M39" s="47">
        <f t="shared" si="11"/>
        <v>9900</v>
      </c>
      <c r="N39" s="47">
        <f t="shared" si="11"/>
        <v>9900</v>
      </c>
      <c r="Q39" s="48">
        <f t="shared" si="12"/>
        <v>2690.217391304348</v>
      </c>
      <c r="R39" s="48">
        <f t="shared" si="6"/>
        <v>2757.6601671309195</v>
      </c>
      <c r="S39" s="48">
        <f t="shared" si="6"/>
        <v>2487.4371859296484</v>
      </c>
      <c r="U39" s="69">
        <f t="shared" si="13"/>
        <v>2518.5815217391309</v>
      </c>
      <c r="V39" s="69">
        <f t="shared" si="7"/>
        <v>2581.7214484679671</v>
      </c>
      <c r="W39" s="69">
        <f t="shared" si="7"/>
        <v>2328.7386934673368</v>
      </c>
      <c r="X39" s="68"/>
      <c r="Y39" s="70">
        <f t="shared" si="14"/>
        <v>169.48369565217391</v>
      </c>
      <c r="Z39" s="70">
        <f t="shared" si="8"/>
        <v>173.73259052924794</v>
      </c>
      <c r="AA39" s="70">
        <f t="shared" si="8"/>
        <v>156.70854271356785</v>
      </c>
      <c r="AB39" s="68"/>
      <c r="AC39" s="70">
        <f t="shared" si="15"/>
        <v>2.1521739130430433</v>
      </c>
      <c r="AD39" s="70">
        <f t="shared" si="9"/>
        <v>2.2061281337046239</v>
      </c>
      <c r="AE39" s="70">
        <f t="shared" si="9"/>
        <v>1.9899497487435838</v>
      </c>
    </row>
    <row r="40" spans="3:48" x14ac:dyDescent="0.25">
      <c r="C40" s="27" t="s">
        <v>53</v>
      </c>
      <c r="D40">
        <f t="shared" si="10"/>
        <v>3.65</v>
      </c>
      <c r="E40">
        <f t="shared" si="10"/>
        <v>4.5600000000000005</v>
      </c>
      <c r="F40">
        <f t="shared" si="10"/>
        <v>4.25</v>
      </c>
      <c r="K40" s="27" t="s">
        <v>53</v>
      </c>
      <c r="L40" s="47">
        <f t="shared" si="11"/>
        <v>9600</v>
      </c>
      <c r="M40" s="47">
        <f t="shared" si="11"/>
        <v>9600</v>
      </c>
      <c r="N40" s="47">
        <f t="shared" si="11"/>
        <v>9600</v>
      </c>
      <c r="Q40" s="48">
        <f t="shared" si="12"/>
        <v>2630.1369863013701</v>
      </c>
      <c r="R40" s="48">
        <f t="shared" si="6"/>
        <v>2105.2631578947367</v>
      </c>
      <c r="S40" s="48">
        <f t="shared" si="6"/>
        <v>2258.8235294117649</v>
      </c>
      <c r="U40" s="69">
        <f t="shared" si="13"/>
        <v>2462.3342465753431</v>
      </c>
      <c r="V40" s="69">
        <f t="shared" si="7"/>
        <v>1970.9473684210525</v>
      </c>
      <c r="W40" s="69">
        <f t="shared" si="7"/>
        <v>2114.7105882352944</v>
      </c>
      <c r="X40" s="68"/>
      <c r="Y40" s="70">
        <f t="shared" si="14"/>
        <v>165.69863013698631</v>
      </c>
      <c r="Z40" s="70">
        <f t="shared" si="8"/>
        <v>132.63157894736841</v>
      </c>
      <c r="AA40" s="70">
        <f t="shared" si="8"/>
        <v>142.30588235294118</v>
      </c>
      <c r="AB40" s="68"/>
      <c r="AC40" s="70">
        <f t="shared" si="15"/>
        <v>2.1041095890409451</v>
      </c>
      <c r="AD40" s="70">
        <f t="shared" si="9"/>
        <v>1.6842105263158373</v>
      </c>
      <c r="AE40" s="70">
        <f t="shared" si="9"/>
        <v>1.8070588235291325</v>
      </c>
    </row>
    <row r="41" spans="3:48" x14ac:dyDescent="0.25">
      <c r="C41" s="27" t="s">
        <v>55</v>
      </c>
      <c r="D41">
        <f t="shared" si="10"/>
        <v>4.68</v>
      </c>
      <c r="E41">
        <f t="shared" si="10"/>
        <v>5.08</v>
      </c>
      <c r="F41">
        <f t="shared" si="10"/>
        <v>4.7200000000000006</v>
      </c>
      <c r="K41" s="27" t="s">
        <v>55</v>
      </c>
      <c r="L41" s="47">
        <f t="shared" si="11"/>
        <v>8400</v>
      </c>
      <c r="M41" s="47">
        <f t="shared" si="11"/>
        <v>8400</v>
      </c>
      <c r="N41" s="47">
        <f t="shared" si="11"/>
        <v>8400</v>
      </c>
      <c r="Q41" s="48">
        <f t="shared" si="12"/>
        <v>1794.8717948717949</v>
      </c>
      <c r="R41" s="48">
        <f t="shared" si="6"/>
        <v>1653.543307086614</v>
      </c>
      <c r="S41" s="48">
        <f t="shared" si="6"/>
        <v>1779.6610169491523</v>
      </c>
      <c r="U41" s="69">
        <f t="shared" si="13"/>
        <v>1680.3589743589744</v>
      </c>
      <c r="V41" s="69">
        <f t="shared" si="7"/>
        <v>1548.0472440944882</v>
      </c>
      <c r="W41" s="69">
        <f t="shared" si="7"/>
        <v>1666.1186440677964</v>
      </c>
      <c r="X41" s="68"/>
      <c r="Y41" s="70">
        <f t="shared" si="14"/>
        <v>113.07692307692308</v>
      </c>
      <c r="Z41" s="70">
        <f t="shared" si="8"/>
        <v>104.1732283464567</v>
      </c>
      <c r="AA41" s="70">
        <f t="shared" si="8"/>
        <v>112.11864406779659</v>
      </c>
      <c r="AB41" s="68"/>
      <c r="AC41" s="70">
        <f t="shared" si="15"/>
        <v>1.4358974358974592</v>
      </c>
      <c r="AD41" s="70">
        <f t="shared" si="9"/>
        <v>1.3228346456692179</v>
      </c>
      <c r="AE41" s="70">
        <f t="shared" si="9"/>
        <v>1.4237288135593644</v>
      </c>
    </row>
    <row r="42" spans="3:48" x14ac:dyDescent="0.25">
      <c r="C42" s="27" t="s">
        <v>56</v>
      </c>
      <c r="D42">
        <f t="shared" si="10"/>
        <v>3.79</v>
      </c>
      <c r="E42">
        <f t="shared" si="10"/>
        <v>3.78</v>
      </c>
      <c r="F42">
        <f t="shared" si="10"/>
        <v>3.6799999999999997</v>
      </c>
      <c r="K42" s="27" t="s">
        <v>56</v>
      </c>
      <c r="L42" s="47">
        <f t="shared" si="11"/>
        <v>9200</v>
      </c>
      <c r="M42" s="47">
        <f t="shared" si="11"/>
        <v>9200</v>
      </c>
      <c r="N42" s="47">
        <f t="shared" si="11"/>
        <v>9200</v>
      </c>
      <c r="Q42" s="48">
        <f t="shared" si="12"/>
        <v>2427.4406332453827</v>
      </c>
      <c r="R42" s="48">
        <f t="shared" si="6"/>
        <v>2433.862433862434</v>
      </c>
      <c r="S42" s="48">
        <f t="shared" si="6"/>
        <v>2500</v>
      </c>
      <c r="U42" s="69">
        <f t="shared" si="13"/>
        <v>2272.5699208443275</v>
      </c>
      <c r="V42" s="69">
        <f t="shared" si="7"/>
        <v>2278.5820105820108</v>
      </c>
      <c r="W42" s="69">
        <f t="shared" si="7"/>
        <v>2340.5</v>
      </c>
      <c r="X42" s="68"/>
      <c r="Y42" s="70">
        <f t="shared" si="14"/>
        <v>152.92875989445912</v>
      </c>
      <c r="Z42" s="70">
        <f t="shared" si="8"/>
        <v>153.33333333333334</v>
      </c>
      <c r="AA42" s="70">
        <f t="shared" si="8"/>
        <v>157.5</v>
      </c>
      <c r="AB42" s="68"/>
      <c r="AC42" s="70">
        <f t="shared" si="15"/>
        <v>1.9419525065959533</v>
      </c>
      <c r="AD42" s="70">
        <f t="shared" si="9"/>
        <v>1.9470899470898075</v>
      </c>
      <c r="AE42" s="70">
        <f t="shared" si="9"/>
        <v>2</v>
      </c>
    </row>
    <row r="43" spans="3:48" x14ac:dyDescent="0.25">
      <c r="C43" s="27" t="s">
        <v>57</v>
      </c>
      <c r="D43">
        <f t="shared" si="10"/>
        <v>4.09</v>
      </c>
      <c r="E43">
        <f t="shared" si="10"/>
        <v>4.18</v>
      </c>
      <c r="F43">
        <f t="shared" si="10"/>
        <v>4.32</v>
      </c>
      <c r="K43" s="27" t="s">
        <v>57</v>
      </c>
      <c r="L43" s="47">
        <f t="shared" si="11"/>
        <v>8800</v>
      </c>
      <c r="M43" s="47">
        <f t="shared" si="11"/>
        <v>8800</v>
      </c>
      <c r="N43" s="47">
        <f t="shared" si="11"/>
        <v>8800</v>
      </c>
      <c r="Q43" s="48">
        <f t="shared" si="12"/>
        <v>2151.5892420537898</v>
      </c>
      <c r="R43" s="48">
        <f t="shared" si="12"/>
        <v>2105.2631578947371</v>
      </c>
      <c r="S43" s="48">
        <f t="shared" si="12"/>
        <v>2037.037037037037</v>
      </c>
      <c r="U43" s="69">
        <f t="shared" si="13"/>
        <v>2014.317848410758</v>
      </c>
      <c r="V43" s="69">
        <f t="shared" si="13"/>
        <v>1970.9473684210532</v>
      </c>
      <c r="W43" s="69">
        <f t="shared" si="13"/>
        <v>1907.0740740740741</v>
      </c>
      <c r="X43" s="68"/>
      <c r="Y43" s="70">
        <f t="shared" si="14"/>
        <v>135.55012224938875</v>
      </c>
      <c r="Z43" s="70">
        <f t="shared" si="14"/>
        <v>132.63157894736844</v>
      </c>
      <c r="AA43" s="70">
        <f t="shared" si="14"/>
        <v>128.33333333333331</v>
      </c>
      <c r="AB43" s="68"/>
      <c r="AC43" s="70">
        <f t="shared" si="15"/>
        <v>1.721271393643292</v>
      </c>
      <c r="AD43" s="70">
        <f t="shared" si="15"/>
        <v>1.6842105263153826</v>
      </c>
      <c r="AE43" s="70">
        <f t="shared" si="15"/>
        <v>1.6296296296295623</v>
      </c>
    </row>
    <row r="44" spans="3:48" x14ac:dyDescent="0.25">
      <c r="C44" s="27" t="s">
        <v>58</v>
      </c>
      <c r="D44">
        <f t="shared" ref="D44:F44" si="16">D24/10</f>
        <v>3.4799999999999995</v>
      </c>
      <c r="E44">
        <f t="shared" si="16"/>
        <v>3.7600000000000002</v>
      </c>
      <c r="F44">
        <f t="shared" si="16"/>
        <v>3.5200000000000005</v>
      </c>
      <c r="K44" s="27" t="s">
        <v>58</v>
      </c>
      <c r="L44" s="47">
        <f t="shared" ref="L44:N44" si="17">(L24/1000)*10000</f>
        <v>8270</v>
      </c>
      <c r="M44" s="47">
        <f t="shared" si="17"/>
        <v>8270</v>
      </c>
      <c r="N44" s="47">
        <f t="shared" si="17"/>
        <v>8270</v>
      </c>
      <c r="Q44" s="48">
        <f t="shared" si="12"/>
        <v>2376.4367816091958</v>
      </c>
      <c r="R44" s="48">
        <f t="shared" si="12"/>
        <v>2199.4680851063827</v>
      </c>
      <c r="S44" s="48">
        <f t="shared" si="12"/>
        <v>2349.431818181818</v>
      </c>
      <c r="U44" s="69">
        <f t="shared" si="13"/>
        <v>2224.820114942529</v>
      </c>
      <c r="V44" s="69">
        <f t="shared" si="13"/>
        <v>2059.1420212765956</v>
      </c>
      <c r="W44" s="69">
        <f t="shared" si="13"/>
        <v>2199.5380681818183</v>
      </c>
      <c r="X44" s="68"/>
      <c r="Y44" s="70">
        <f t="shared" si="14"/>
        <v>149.71551724137933</v>
      </c>
      <c r="Z44" s="70">
        <f t="shared" si="14"/>
        <v>138.56648936170211</v>
      </c>
      <c r="AA44" s="70">
        <f t="shared" si="14"/>
        <v>148.01420454545453</v>
      </c>
      <c r="AB44" s="68"/>
      <c r="AC44" s="70">
        <f t="shared" si="15"/>
        <v>1.9011494252872581</v>
      </c>
      <c r="AD44" s="70">
        <f t="shared" si="15"/>
        <v>1.7595744680847929</v>
      </c>
      <c r="AE44" s="70">
        <f t="shared" si="15"/>
        <v>1.879545454545223</v>
      </c>
    </row>
    <row r="46" spans="3:48" x14ac:dyDescent="0.25">
      <c r="W46" s="66" t="s">
        <v>118</v>
      </c>
      <c r="Y46" t="s">
        <v>124</v>
      </c>
      <c r="AA46" s="35" t="s">
        <v>119</v>
      </c>
      <c r="AE46" s="35" t="s">
        <v>120</v>
      </c>
      <c r="AI46" s="35" t="s">
        <v>121</v>
      </c>
      <c r="AM46" s="49" t="s">
        <v>75</v>
      </c>
      <c r="AN46" s="49"/>
      <c r="AO46" s="49"/>
      <c r="AP46" s="49"/>
      <c r="AQ46" s="49" t="s">
        <v>76</v>
      </c>
      <c r="AR46" s="49"/>
      <c r="AS46" s="49"/>
      <c r="AT46" s="49"/>
      <c r="AU46" s="49" t="s">
        <v>77</v>
      </c>
    </row>
    <row r="47" spans="3:48" x14ac:dyDescent="0.25">
      <c r="U47" s="27" t="s">
        <v>22</v>
      </c>
      <c r="V47" s="47">
        <f>Q27/2.6</f>
        <v>1814.2235123367198</v>
      </c>
      <c r="W47" s="47">
        <f t="shared" ref="W47:X62" si="18">R27/2.6</f>
        <v>2037.1577574967403</v>
      </c>
      <c r="X47" s="47">
        <f t="shared" si="18"/>
        <v>2229.9129441986588</v>
      </c>
      <c r="Y47" s="47">
        <f>AVERAGE(V47:X47)</f>
        <v>2027.0980713440397</v>
      </c>
      <c r="Z47" s="48">
        <f>Q27-V47</f>
        <v>2902.7576197387516</v>
      </c>
      <c r="AA47" s="48">
        <f t="shared" ref="AA47:AB62" si="19">R27-W47</f>
        <v>3259.4524119947846</v>
      </c>
      <c r="AB47" s="48">
        <f t="shared" si="19"/>
        <v>3567.8607107178541</v>
      </c>
      <c r="AD47" s="67">
        <f>Q27*3.1/100</f>
        <v>146.22641509433961</v>
      </c>
      <c r="AE47" s="67">
        <f t="shared" ref="AE47:AF55" si="20">R27*3.1/100</f>
        <v>164.19491525423729</v>
      </c>
      <c r="AF47" s="67">
        <f t="shared" si="20"/>
        <v>179.73098330241191</v>
      </c>
      <c r="AH47" s="48">
        <f>Z47-AD47</f>
        <v>2756.5312046444119</v>
      </c>
      <c r="AI47" s="48">
        <f t="shared" ref="AI47:AJ62" si="21">AA47-AE47</f>
        <v>3095.2574967405471</v>
      </c>
      <c r="AJ47" s="48">
        <f t="shared" si="21"/>
        <v>3388.1297274154422</v>
      </c>
      <c r="AL47" s="9">
        <f>(AH47*93.1)/100</f>
        <v>2566.3305515239472</v>
      </c>
      <c r="AM47" s="9">
        <f t="shared" ref="AM47:AN62" si="22">(AI47*93.1)/100</f>
        <v>2881.6847294654494</v>
      </c>
      <c r="AN47" s="9">
        <f t="shared" si="22"/>
        <v>3154.3487762237764</v>
      </c>
      <c r="AP47" s="8">
        <f>(AH47*6.8)/100</f>
        <v>187.44412191582001</v>
      </c>
      <c r="AQ47" s="8">
        <f t="shared" ref="AQ47:AR62" si="23">(AI47*6.8)/100</f>
        <v>210.47750977835719</v>
      </c>
      <c r="AR47" s="8">
        <f t="shared" si="23"/>
        <v>230.39282146425003</v>
      </c>
      <c r="AT47" s="8">
        <f>(AH47-(AL47+AP47))</f>
        <v>2.7565312046449435</v>
      </c>
      <c r="AU47" s="8">
        <f t="shared" ref="AU47:AV62" si="24">(AI47-(AM47+AQ47))</f>
        <v>3.0952574967404871</v>
      </c>
      <c r="AV47" s="8">
        <f t="shared" si="24"/>
        <v>3.3881297274156168</v>
      </c>
    </row>
    <row r="48" spans="3:48" x14ac:dyDescent="0.25">
      <c r="U48" s="27" t="s">
        <v>24</v>
      </c>
      <c r="V48" s="47">
        <f t="shared" ref="V48:V55" si="25">Q28/2.6</f>
        <v>1186.4741941862765</v>
      </c>
      <c r="W48" s="47">
        <f t="shared" si="18"/>
        <v>1093.6930368209987</v>
      </c>
      <c r="X48" s="47">
        <f t="shared" si="18"/>
        <v>1061.0079575596817</v>
      </c>
      <c r="Y48" s="47">
        <f t="shared" ref="Y48:Y64" si="26">AVERAGE(V48:X48)</f>
        <v>1113.7250628556524</v>
      </c>
      <c r="Z48" s="48">
        <f t="shared" ref="Z48:AB64" si="27">Q28-V48</f>
        <v>1898.3587106980424</v>
      </c>
      <c r="AA48" s="48">
        <f t="shared" si="19"/>
        <v>1749.9088589135981</v>
      </c>
      <c r="AB48" s="48">
        <f t="shared" si="19"/>
        <v>1697.6127320954909</v>
      </c>
      <c r="AD48" s="67">
        <f t="shared" ref="AD48:AD55" si="28">Q28*3.1/100</f>
        <v>95.629820051413887</v>
      </c>
      <c r="AE48" s="67">
        <f t="shared" si="20"/>
        <v>88.151658767772503</v>
      </c>
      <c r="AF48" s="67">
        <f t="shared" si="20"/>
        <v>85.517241379310349</v>
      </c>
      <c r="AH48" s="48">
        <f t="shared" ref="AH48:AJ64" si="29">Z48-AD48</f>
        <v>1802.7288906466285</v>
      </c>
      <c r="AI48" s="48">
        <f t="shared" si="21"/>
        <v>1661.7572001458257</v>
      </c>
      <c r="AJ48" s="48">
        <f t="shared" si="21"/>
        <v>1612.0954907161804</v>
      </c>
      <c r="AL48" s="9">
        <f t="shared" ref="AL48:AL55" si="30">(AH48*93.1)/100</f>
        <v>1678.3405971920113</v>
      </c>
      <c r="AM48" s="9">
        <f t="shared" si="22"/>
        <v>1547.0959533357634</v>
      </c>
      <c r="AN48" s="9">
        <f t="shared" si="22"/>
        <v>1500.8609018567638</v>
      </c>
      <c r="AP48" s="8">
        <f t="shared" ref="AP48:AR64" si="31">(AH48*6.8)/100</f>
        <v>122.58556456397073</v>
      </c>
      <c r="AQ48" s="8">
        <f t="shared" si="23"/>
        <v>112.99948960991614</v>
      </c>
      <c r="AR48" s="8">
        <f t="shared" si="23"/>
        <v>109.62249336870028</v>
      </c>
      <c r="AT48" s="8">
        <f t="shared" ref="AT48:AV64" si="32">(AH48-(AL48+AP48))</f>
        <v>1.8027288906464491</v>
      </c>
      <c r="AU48" s="8">
        <f t="shared" si="24"/>
        <v>1.6617572001462122</v>
      </c>
      <c r="AV48" s="8">
        <f t="shared" si="24"/>
        <v>1.6120954907162286</v>
      </c>
    </row>
    <row r="49" spans="2:48" x14ac:dyDescent="0.25">
      <c r="U49" s="27" t="s">
        <v>31</v>
      </c>
      <c r="V49" s="47">
        <f t="shared" si="25"/>
        <v>941.75371953149715</v>
      </c>
      <c r="W49" s="47">
        <f t="shared" si="18"/>
        <v>962.34715662806479</v>
      </c>
      <c r="X49" s="47">
        <f t="shared" si="18"/>
        <v>999.32818273429621</v>
      </c>
      <c r="Y49" s="47">
        <f t="shared" si="26"/>
        <v>967.80968629795279</v>
      </c>
      <c r="Z49" s="48">
        <f t="shared" si="27"/>
        <v>1506.8059512503955</v>
      </c>
      <c r="AA49" s="48">
        <f t="shared" si="19"/>
        <v>1539.7554506049039</v>
      </c>
      <c r="AB49" s="48">
        <f t="shared" si="19"/>
        <v>1598.9250923748741</v>
      </c>
      <c r="AD49" s="67">
        <f t="shared" si="28"/>
        <v>75.905349794238674</v>
      </c>
      <c r="AE49" s="67">
        <f t="shared" si="20"/>
        <v>77.56518082422204</v>
      </c>
      <c r="AF49" s="67">
        <f t="shared" si="20"/>
        <v>80.545851528384276</v>
      </c>
      <c r="AH49" s="48">
        <f t="shared" si="29"/>
        <v>1430.9006014561569</v>
      </c>
      <c r="AI49" s="48">
        <f t="shared" si="21"/>
        <v>1462.1902697806818</v>
      </c>
      <c r="AJ49" s="48">
        <f t="shared" si="21"/>
        <v>1518.3792408464899</v>
      </c>
      <c r="AL49" s="9">
        <f t="shared" si="30"/>
        <v>1332.168459955682</v>
      </c>
      <c r="AM49" s="9">
        <f t="shared" si="22"/>
        <v>1361.2991411658147</v>
      </c>
      <c r="AN49" s="9">
        <f t="shared" si="22"/>
        <v>1413.6110732280822</v>
      </c>
      <c r="AP49" s="8">
        <f t="shared" si="31"/>
        <v>97.301240899018666</v>
      </c>
      <c r="AQ49" s="8">
        <f t="shared" si="23"/>
        <v>99.428938345086351</v>
      </c>
      <c r="AR49" s="8">
        <f t="shared" si="23"/>
        <v>103.2497883775613</v>
      </c>
      <c r="AT49" s="8">
        <f t="shared" si="32"/>
        <v>1.4309006014561874</v>
      </c>
      <c r="AU49" s="8">
        <f t="shared" si="24"/>
        <v>1.462190269780649</v>
      </c>
      <c r="AV49" s="8">
        <f t="shared" si="24"/>
        <v>1.5183792408463432</v>
      </c>
    </row>
    <row r="50" spans="2:48" x14ac:dyDescent="0.25">
      <c r="U50" s="27" t="s">
        <v>34</v>
      </c>
      <c r="V50" s="47">
        <f t="shared" si="25"/>
        <v>1165.8031088082901</v>
      </c>
      <c r="W50" s="47">
        <f t="shared" si="18"/>
        <v>1190.4761904761906</v>
      </c>
      <c r="X50" s="47">
        <f t="shared" si="18"/>
        <v>1243.0939226519336</v>
      </c>
      <c r="Y50" s="47">
        <f t="shared" si="26"/>
        <v>1199.7910739788047</v>
      </c>
      <c r="Z50" s="48">
        <f t="shared" si="27"/>
        <v>1865.2849740932641</v>
      </c>
      <c r="AA50" s="48">
        <f t="shared" si="19"/>
        <v>1904.7619047619048</v>
      </c>
      <c r="AB50" s="48">
        <f t="shared" si="19"/>
        <v>1988.9502762430939</v>
      </c>
      <c r="AD50" s="67">
        <f t="shared" si="28"/>
        <v>93.963730569948183</v>
      </c>
      <c r="AE50" s="67">
        <f t="shared" si="20"/>
        <v>95.952380952380949</v>
      </c>
      <c r="AF50" s="67">
        <f t="shared" si="20"/>
        <v>100.19337016574586</v>
      </c>
      <c r="AH50" s="48">
        <f t="shared" si="29"/>
        <v>1771.3212435233158</v>
      </c>
      <c r="AI50" s="48">
        <f t="shared" si="21"/>
        <v>1808.8095238095239</v>
      </c>
      <c r="AJ50" s="48">
        <f t="shared" si="21"/>
        <v>1888.756906077348</v>
      </c>
      <c r="AL50" s="9">
        <f t="shared" si="30"/>
        <v>1649.1000777202071</v>
      </c>
      <c r="AM50" s="9">
        <f t="shared" si="22"/>
        <v>1684.0016666666666</v>
      </c>
      <c r="AN50" s="9">
        <f t="shared" si="22"/>
        <v>1758.4326795580109</v>
      </c>
      <c r="AP50" s="8">
        <f t="shared" si="31"/>
        <v>120.44984455958547</v>
      </c>
      <c r="AQ50" s="8">
        <f t="shared" si="23"/>
        <v>122.99904761904762</v>
      </c>
      <c r="AR50" s="8">
        <f t="shared" si="23"/>
        <v>128.43546961325967</v>
      </c>
      <c r="AT50" s="8">
        <f t="shared" si="32"/>
        <v>1.771321243523289</v>
      </c>
      <c r="AU50" s="8">
        <f t="shared" si="24"/>
        <v>1.8088095238097139</v>
      </c>
      <c r="AV50" s="8">
        <f t="shared" si="24"/>
        <v>1.8887569060775604</v>
      </c>
    </row>
    <row r="51" spans="2:48" x14ac:dyDescent="0.25">
      <c r="U51" s="27" t="s">
        <v>38</v>
      </c>
      <c r="V51" s="47">
        <f t="shared" si="25"/>
        <v>965.73731944910992</v>
      </c>
      <c r="W51" s="47">
        <f t="shared" si="18"/>
        <v>929.21784098254682</v>
      </c>
      <c r="X51" s="47">
        <f t="shared" si="18"/>
        <v>993.94987035436475</v>
      </c>
      <c r="Y51" s="47">
        <f t="shared" si="26"/>
        <v>962.96834359534057</v>
      </c>
      <c r="Z51" s="48">
        <f t="shared" si="27"/>
        <v>1545.1797111185758</v>
      </c>
      <c r="AA51" s="48">
        <f t="shared" si="19"/>
        <v>1486.7485455720748</v>
      </c>
      <c r="AB51" s="48">
        <f t="shared" si="19"/>
        <v>1590.3197925669836</v>
      </c>
      <c r="AD51" s="67">
        <f t="shared" si="28"/>
        <v>77.838427947598262</v>
      </c>
      <c r="AE51" s="67">
        <f t="shared" si="20"/>
        <v>74.894957983193279</v>
      </c>
      <c r="AF51" s="67">
        <f t="shared" si="20"/>
        <v>80.112359550561791</v>
      </c>
      <c r="AH51" s="48">
        <f t="shared" si="29"/>
        <v>1467.3412831709775</v>
      </c>
      <c r="AI51" s="48">
        <f t="shared" si="21"/>
        <v>1411.8535875888815</v>
      </c>
      <c r="AJ51" s="48">
        <f t="shared" si="21"/>
        <v>1510.2074330164219</v>
      </c>
      <c r="AL51" s="9">
        <f t="shared" si="30"/>
        <v>1366.09473463218</v>
      </c>
      <c r="AM51" s="9">
        <f t="shared" si="22"/>
        <v>1314.4356900452485</v>
      </c>
      <c r="AN51" s="9">
        <f t="shared" si="22"/>
        <v>1406.0031201382888</v>
      </c>
      <c r="AP51" s="8">
        <f t="shared" si="31"/>
        <v>99.77920725562646</v>
      </c>
      <c r="AQ51" s="8">
        <f t="shared" si="23"/>
        <v>96.006043956043939</v>
      </c>
      <c r="AR51" s="8">
        <f t="shared" si="23"/>
        <v>102.69410544511669</v>
      </c>
      <c r="AT51" s="8">
        <f t="shared" si="32"/>
        <v>1.4673412831709811</v>
      </c>
      <c r="AU51" s="8">
        <f t="shared" si="24"/>
        <v>1.4118535875891212</v>
      </c>
      <c r="AV51" s="8">
        <f t="shared" si="24"/>
        <v>1.5102074330163759</v>
      </c>
    </row>
    <row r="52" spans="2:48" ht="30" x14ac:dyDescent="0.4">
      <c r="N52" s="57">
        <v>2020</v>
      </c>
      <c r="U52" s="27" t="s">
        <v>40</v>
      </c>
      <c r="V52" s="47">
        <f t="shared" si="25"/>
        <v>787.05078705078711</v>
      </c>
      <c r="W52" s="47">
        <f t="shared" si="18"/>
        <v>818.65925239419221</v>
      </c>
      <c r="X52" s="47">
        <f t="shared" si="18"/>
        <v>852.91277759897025</v>
      </c>
      <c r="Y52" s="47">
        <f t="shared" si="26"/>
        <v>819.54093901465001</v>
      </c>
      <c r="Z52" s="48">
        <f t="shared" si="27"/>
        <v>1259.2812592812593</v>
      </c>
      <c r="AA52" s="48">
        <f t="shared" si="19"/>
        <v>1309.8548038307076</v>
      </c>
      <c r="AB52" s="48">
        <f t="shared" si="19"/>
        <v>1364.6604441583524</v>
      </c>
      <c r="AD52" s="67">
        <f t="shared" si="28"/>
        <v>63.436293436293447</v>
      </c>
      <c r="AE52" s="67">
        <f t="shared" si="20"/>
        <v>65.983935742971894</v>
      </c>
      <c r="AF52" s="67">
        <f t="shared" si="20"/>
        <v>68.744769874477001</v>
      </c>
      <c r="AH52" s="48">
        <f t="shared" si="29"/>
        <v>1195.8449658449658</v>
      </c>
      <c r="AI52" s="48">
        <f t="shared" si="21"/>
        <v>1243.8708680877357</v>
      </c>
      <c r="AJ52" s="48">
        <f t="shared" si="21"/>
        <v>1295.9156742838754</v>
      </c>
      <c r="AL52" s="9">
        <f t="shared" si="30"/>
        <v>1113.3316632016631</v>
      </c>
      <c r="AM52" s="9">
        <f t="shared" si="22"/>
        <v>1158.0437781896819</v>
      </c>
      <c r="AN52" s="9">
        <f t="shared" si="22"/>
        <v>1206.497492758288</v>
      </c>
      <c r="AP52" s="8">
        <f t="shared" si="31"/>
        <v>81.317457677457682</v>
      </c>
      <c r="AQ52" s="8">
        <f t="shared" si="23"/>
        <v>84.583219029966017</v>
      </c>
      <c r="AR52" s="8">
        <f t="shared" si="23"/>
        <v>88.122265851303524</v>
      </c>
      <c r="AT52" s="8">
        <f t="shared" si="32"/>
        <v>1.1958449658450263</v>
      </c>
      <c r="AU52" s="8">
        <f t="shared" si="24"/>
        <v>1.2438708680879245</v>
      </c>
      <c r="AV52" s="8">
        <f t="shared" si="24"/>
        <v>1.2959156742838331</v>
      </c>
    </row>
    <row r="53" spans="2:48" x14ac:dyDescent="0.25">
      <c r="U53" s="27" t="s">
        <v>42</v>
      </c>
      <c r="V53" s="47">
        <f t="shared" si="25"/>
        <v>1061.9977037887486</v>
      </c>
      <c r="W53" s="47">
        <f t="shared" si="18"/>
        <v>1080.8179162609542</v>
      </c>
      <c r="X53" s="47">
        <f t="shared" si="18"/>
        <v>1097.488629622306</v>
      </c>
      <c r="Y53" s="47">
        <f t="shared" si="26"/>
        <v>1080.1014165573363</v>
      </c>
      <c r="Z53" s="48">
        <f t="shared" si="27"/>
        <v>1699.196326061998</v>
      </c>
      <c r="AA53" s="48">
        <f t="shared" si="19"/>
        <v>1729.308666017527</v>
      </c>
      <c r="AB53" s="48">
        <f t="shared" si="19"/>
        <v>1755.9818073956897</v>
      </c>
      <c r="AD53" s="67">
        <f t="shared" si="28"/>
        <v>85.597014925373145</v>
      </c>
      <c r="AE53" s="67">
        <f t="shared" si="20"/>
        <v>87.113924050632917</v>
      </c>
      <c r="AF53" s="67">
        <f t="shared" si="20"/>
        <v>88.45758354755786</v>
      </c>
      <c r="AH53" s="48">
        <f t="shared" si="29"/>
        <v>1613.5993111366249</v>
      </c>
      <c r="AI53" s="48">
        <f t="shared" si="21"/>
        <v>1642.1947419668941</v>
      </c>
      <c r="AJ53" s="48">
        <f t="shared" si="21"/>
        <v>1667.5242238481319</v>
      </c>
      <c r="AL53" s="9">
        <f t="shared" si="30"/>
        <v>1502.2609586681976</v>
      </c>
      <c r="AM53" s="9">
        <f t="shared" si="22"/>
        <v>1528.8833047711782</v>
      </c>
      <c r="AN53" s="9">
        <f t="shared" si="22"/>
        <v>1552.4650524026106</v>
      </c>
      <c r="AP53" s="8">
        <f t="shared" si="31"/>
        <v>109.72475315729049</v>
      </c>
      <c r="AQ53" s="8">
        <f t="shared" si="23"/>
        <v>111.66924245374879</v>
      </c>
      <c r="AR53" s="8">
        <f t="shared" si="23"/>
        <v>113.39164722167297</v>
      </c>
      <c r="AT53" s="8">
        <f t="shared" si="32"/>
        <v>1.6135993111367952</v>
      </c>
      <c r="AU53" s="8">
        <f t="shared" si="24"/>
        <v>1.6421947419669323</v>
      </c>
      <c r="AV53" s="8">
        <f t="shared" si="24"/>
        <v>1.6675242238484316</v>
      </c>
    </row>
    <row r="54" spans="2:48" x14ac:dyDescent="0.25">
      <c r="U54" s="27" t="s">
        <v>44</v>
      </c>
      <c r="V54" s="47">
        <f t="shared" si="25"/>
        <v>963.74889478337764</v>
      </c>
      <c r="W54" s="47">
        <f t="shared" si="18"/>
        <v>986.42533936651569</v>
      </c>
      <c r="X54" s="47">
        <f t="shared" si="18"/>
        <v>1000.5507618872775</v>
      </c>
      <c r="Y54" s="47">
        <f t="shared" si="26"/>
        <v>983.57499867905699</v>
      </c>
      <c r="Z54" s="48">
        <f t="shared" si="27"/>
        <v>1541.9982316534042</v>
      </c>
      <c r="AA54" s="48">
        <f t="shared" si="19"/>
        <v>1578.2805429864252</v>
      </c>
      <c r="AB54" s="48">
        <f t="shared" si="19"/>
        <v>1600.881219019644</v>
      </c>
      <c r="AD54" s="67">
        <f t="shared" si="28"/>
        <v>77.678160919540247</v>
      </c>
      <c r="AE54" s="67">
        <f t="shared" si="20"/>
        <v>79.505882352941171</v>
      </c>
      <c r="AF54" s="67">
        <f t="shared" si="20"/>
        <v>80.644391408114572</v>
      </c>
      <c r="AH54" s="48">
        <f t="shared" si="29"/>
        <v>1464.320070733864</v>
      </c>
      <c r="AI54" s="48">
        <f t="shared" si="21"/>
        <v>1498.774660633484</v>
      </c>
      <c r="AJ54" s="48">
        <f t="shared" si="21"/>
        <v>1520.2368276115294</v>
      </c>
      <c r="AL54" s="9">
        <f t="shared" si="30"/>
        <v>1363.2819858532273</v>
      </c>
      <c r="AM54" s="9">
        <f t="shared" si="22"/>
        <v>1395.3592090497737</v>
      </c>
      <c r="AN54" s="9">
        <f t="shared" si="22"/>
        <v>1415.3404865063337</v>
      </c>
      <c r="AP54" s="8">
        <f t="shared" si="31"/>
        <v>99.573764809902755</v>
      </c>
      <c r="AQ54" s="8">
        <f t="shared" si="23"/>
        <v>101.91667692307691</v>
      </c>
      <c r="AR54" s="8">
        <f t="shared" si="23"/>
        <v>103.37610427758401</v>
      </c>
      <c r="AT54" s="8">
        <f t="shared" si="32"/>
        <v>1.4643200707339474</v>
      </c>
      <c r="AU54" s="8">
        <f t="shared" si="24"/>
        <v>1.498774660633444</v>
      </c>
      <c r="AV54" s="8">
        <f t="shared" si="24"/>
        <v>1.5202368276115976</v>
      </c>
    </row>
    <row r="55" spans="2:48" x14ac:dyDescent="0.25">
      <c r="E55" s="49" t="s">
        <v>69</v>
      </c>
      <c r="F55" s="49"/>
      <c r="G55" s="49"/>
      <c r="H55" s="49"/>
      <c r="I55" s="49" t="s">
        <v>69</v>
      </c>
      <c r="J55" s="49"/>
      <c r="K55" s="49"/>
      <c r="L55" s="49"/>
      <c r="M55" s="49" t="s">
        <v>72</v>
      </c>
      <c r="N55" s="49"/>
      <c r="O55" s="49"/>
      <c r="P55" s="49"/>
      <c r="Q55" s="49"/>
      <c r="R55" s="49" t="s">
        <v>73</v>
      </c>
      <c r="S55" s="49"/>
      <c r="U55" s="27" t="s">
        <v>46</v>
      </c>
      <c r="V55" s="47">
        <f t="shared" si="25"/>
        <v>1106.4278187565858</v>
      </c>
      <c r="W55" s="47">
        <f t="shared" si="18"/>
        <v>1131.2217194570135</v>
      </c>
      <c r="X55" s="47">
        <f t="shared" si="18"/>
        <v>1160.477453580902</v>
      </c>
      <c r="Y55" s="47">
        <f t="shared" si="26"/>
        <v>1132.7089972648337</v>
      </c>
      <c r="Z55" s="48">
        <f t="shared" si="27"/>
        <v>1770.2845100105376</v>
      </c>
      <c r="AA55" s="48">
        <f t="shared" si="19"/>
        <v>1809.9547511312217</v>
      </c>
      <c r="AB55" s="48">
        <f t="shared" si="19"/>
        <v>1856.7639257294431</v>
      </c>
      <c r="AD55" s="67">
        <f t="shared" si="28"/>
        <v>89.178082191780831</v>
      </c>
      <c r="AE55" s="67">
        <f t="shared" si="20"/>
        <v>91.176470588235304</v>
      </c>
      <c r="AF55" s="67">
        <f t="shared" si="20"/>
        <v>93.534482758620712</v>
      </c>
      <c r="AH55" s="48">
        <f t="shared" si="29"/>
        <v>1681.1064278187569</v>
      </c>
      <c r="AI55" s="48">
        <f t="shared" si="21"/>
        <v>1718.7782805429863</v>
      </c>
      <c r="AJ55" s="48">
        <f t="shared" si="21"/>
        <v>1763.2294429708224</v>
      </c>
      <c r="AL55" s="9">
        <f t="shared" si="30"/>
        <v>1565.1100842992628</v>
      </c>
      <c r="AM55" s="9">
        <f t="shared" si="22"/>
        <v>1600.1825791855199</v>
      </c>
      <c r="AN55" s="9">
        <f t="shared" si="22"/>
        <v>1641.5666114058358</v>
      </c>
      <c r="AP55" s="8">
        <f t="shared" si="31"/>
        <v>114.31523709167546</v>
      </c>
      <c r="AQ55" s="8">
        <f t="shared" si="23"/>
        <v>116.87692307692306</v>
      </c>
      <c r="AR55" s="8">
        <f t="shared" si="23"/>
        <v>119.89960212201593</v>
      </c>
      <c r="AT55" s="8">
        <f t="shared" si="32"/>
        <v>1.6811064278185768</v>
      </c>
      <c r="AU55" s="8">
        <f t="shared" si="24"/>
        <v>1.7187782805433471</v>
      </c>
      <c r="AV55" s="8">
        <f t="shared" si="24"/>
        <v>1.763229442970669</v>
      </c>
    </row>
    <row r="56" spans="2:48" x14ac:dyDescent="0.25">
      <c r="E56" s="35" t="s">
        <v>70</v>
      </c>
      <c r="I56" s="35" t="s">
        <v>71</v>
      </c>
      <c r="M56" s="35" t="s">
        <v>67</v>
      </c>
      <c r="U56" s="27" t="s">
        <v>48</v>
      </c>
      <c r="V56" s="47">
        <f>Q36/2.6</f>
        <v>1582.0029027576199</v>
      </c>
      <c r="W56" s="47">
        <f t="shared" si="18"/>
        <v>2687.3767258382641</v>
      </c>
      <c r="X56" s="47">
        <f t="shared" si="18"/>
        <v>1855.0034036759698</v>
      </c>
      <c r="Y56" s="47">
        <f t="shared" si="26"/>
        <v>2041.4610107572846</v>
      </c>
      <c r="Z56" s="48">
        <f t="shared" si="27"/>
        <v>2531.2046444121916</v>
      </c>
      <c r="AA56" s="48">
        <f t="shared" si="19"/>
        <v>4299.8027613412232</v>
      </c>
      <c r="AB56" s="48">
        <f t="shared" si="19"/>
        <v>2968.0054458815521</v>
      </c>
      <c r="AD56" s="67">
        <f>Q36*5.2/100</f>
        <v>213.88679245283024</v>
      </c>
      <c r="AE56" s="67">
        <f t="shared" ref="AE56:AF64" si="33">R36*5.2/100</f>
        <v>363.33333333333337</v>
      </c>
      <c r="AF56" s="67">
        <f t="shared" si="33"/>
        <v>250.79646017699113</v>
      </c>
      <c r="AH56" s="48">
        <f t="shared" si="29"/>
        <v>2317.3178519593612</v>
      </c>
      <c r="AI56" s="48">
        <f t="shared" si="21"/>
        <v>3936.4694280078897</v>
      </c>
      <c r="AJ56" s="48">
        <f t="shared" si="21"/>
        <v>2717.2089857045607</v>
      </c>
      <c r="AL56" s="9">
        <f>(AH56*93.1)/100</f>
        <v>2157.422920174165</v>
      </c>
      <c r="AM56" s="9">
        <f t="shared" si="22"/>
        <v>3664.853037475345</v>
      </c>
      <c r="AN56" s="9">
        <f t="shared" si="22"/>
        <v>2529.7215656909461</v>
      </c>
      <c r="AP56" s="8">
        <f t="shared" si="31"/>
        <v>157.57761393323656</v>
      </c>
      <c r="AQ56" s="8">
        <f t="shared" si="23"/>
        <v>267.6799211045365</v>
      </c>
      <c r="AR56" s="8">
        <f t="shared" si="23"/>
        <v>184.77021102791011</v>
      </c>
      <c r="AT56" s="8">
        <f t="shared" si="32"/>
        <v>2.3173178519596149</v>
      </c>
      <c r="AU56" s="8">
        <f t="shared" si="24"/>
        <v>3.9364694280084223</v>
      </c>
      <c r="AV56" s="8">
        <f t="shared" si="24"/>
        <v>2.7172089857044739</v>
      </c>
    </row>
    <row r="57" spans="2:48" x14ac:dyDescent="0.25">
      <c r="B57" s="27" t="s">
        <v>22</v>
      </c>
      <c r="D57" s="7">
        <v>26.5</v>
      </c>
      <c r="E57" s="7">
        <v>21.8</v>
      </c>
      <c r="F57" s="7">
        <v>23.56</v>
      </c>
      <c r="G57" s="7"/>
      <c r="H57">
        <f>D57*100</f>
        <v>2650</v>
      </c>
      <c r="I57">
        <f t="shared" ref="I57:J74" si="34">E57*100</f>
        <v>2180</v>
      </c>
      <c r="J57">
        <f t="shared" si="34"/>
        <v>2356</v>
      </c>
      <c r="L57" s="6">
        <v>1263</v>
      </c>
      <c r="M57" s="6">
        <v>1263</v>
      </c>
      <c r="N57" s="6">
        <v>1263</v>
      </c>
      <c r="Q57" s="7">
        <f>H57/L57</f>
        <v>2.098178939034046</v>
      </c>
      <c r="R57" s="7">
        <f t="shared" ref="R57:S74" si="35">I57/M57</f>
        <v>1.7260490894695171</v>
      </c>
      <c r="S57" s="7">
        <f t="shared" si="35"/>
        <v>1.8653998416468724</v>
      </c>
      <c r="U57" s="27" t="s">
        <v>49</v>
      </c>
      <c r="V57" s="47">
        <f t="shared" ref="V57:X64" si="36">Q37/2.6</f>
        <v>1058.9410589410588</v>
      </c>
      <c r="W57" s="47">
        <f t="shared" si="18"/>
        <v>1120.0338123415047</v>
      </c>
      <c r="X57" s="47">
        <f t="shared" si="18"/>
        <v>1078.5510785510787</v>
      </c>
      <c r="Y57" s="47">
        <f t="shared" si="26"/>
        <v>1085.8419832778807</v>
      </c>
      <c r="Z57" s="48">
        <f t="shared" si="27"/>
        <v>1694.3056943056943</v>
      </c>
      <c r="AA57" s="48">
        <f t="shared" si="19"/>
        <v>1792.0540997464075</v>
      </c>
      <c r="AB57" s="48">
        <f t="shared" si="19"/>
        <v>1725.6817256817258</v>
      </c>
      <c r="AD57" s="67">
        <f t="shared" ref="AD57:AD64" si="37">Q37*5.2/100</f>
        <v>143.16883116883116</v>
      </c>
      <c r="AE57" s="67">
        <f t="shared" si="33"/>
        <v>151.42857142857144</v>
      </c>
      <c r="AF57" s="67">
        <f t="shared" si="33"/>
        <v>145.82010582010582</v>
      </c>
      <c r="AH57" s="48">
        <f t="shared" si="29"/>
        <v>1551.1368631368632</v>
      </c>
      <c r="AI57" s="48">
        <f t="shared" si="21"/>
        <v>1640.6255283178361</v>
      </c>
      <c r="AJ57" s="48">
        <f t="shared" si="21"/>
        <v>1579.8616198616201</v>
      </c>
      <c r="AL57" s="9">
        <f t="shared" ref="AL57:AN64" si="38">(AH57*93.1)/100</f>
        <v>1444.1084195804194</v>
      </c>
      <c r="AM57" s="9">
        <f t="shared" si="22"/>
        <v>1527.4223668639054</v>
      </c>
      <c r="AN57" s="9">
        <f t="shared" si="22"/>
        <v>1470.8511680911681</v>
      </c>
      <c r="AP57" s="8">
        <f t="shared" si="31"/>
        <v>105.47730669330669</v>
      </c>
      <c r="AQ57" s="8">
        <f t="shared" si="23"/>
        <v>111.56253592561285</v>
      </c>
      <c r="AR57" s="8">
        <f t="shared" si="23"/>
        <v>107.43059015059016</v>
      </c>
      <c r="AT57" s="8">
        <f t="shared" si="32"/>
        <v>1.551136863137117</v>
      </c>
      <c r="AU57" s="8">
        <f t="shared" si="24"/>
        <v>1.6406255283179689</v>
      </c>
      <c r="AV57" s="8">
        <f t="shared" si="24"/>
        <v>1.579861619861731</v>
      </c>
    </row>
    <row r="58" spans="2:48" x14ac:dyDescent="0.25">
      <c r="B58" s="27" t="s">
        <v>24</v>
      </c>
      <c r="D58" s="7">
        <v>39.56</v>
      </c>
      <c r="E58" s="7">
        <v>43.6</v>
      </c>
      <c r="F58" s="7">
        <v>44.5</v>
      </c>
      <c r="G58" s="7"/>
      <c r="H58">
        <f t="shared" ref="H58:H74" si="39">D58*100</f>
        <v>3956</v>
      </c>
      <c r="I58">
        <f t="shared" si="34"/>
        <v>4360</v>
      </c>
      <c r="J58">
        <f t="shared" si="34"/>
        <v>4450</v>
      </c>
      <c r="L58" s="6">
        <v>1212</v>
      </c>
      <c r="M58" s="6">
        <v>1212</v>
      </c>
      <c r="N58" s="6">
        <v>1212</v>
      </c>
      <c r="Q58" s="7">
        <f t="shared" ref="Q58:Q74" si="40">H58/L58</f>
        <v>3.2640264026402641</v>
      </c>
      <c r="R58" s="7">
        <f t="shared" si="35"/>
        <v>3.5973597359735972</v>
      </c>
      <c r="S58" s="7">
        <f t="shared" si="35"/>
        <v>3.6716171617161715</v>
      </c>
      <c r="U58" s="27" t="s">
        <v>50</v>
      </c>
      <c r="V58" s="47">
        <f t="shared" si="36"/>
        <v>820.72738976504684</v>
      </c>
      <c r="W58" s="47">
        <f t="shared" si="18"/>
        <v>838.26429980276134</v>
      </c>
      <c r="X58" s="47">
        <f t="shared" si="18"/>
        <v>875.68681318681331</v>
      </c>
      <c r="Y58" s="47">
        <f t="shared" si="26"/>
        <v>844.89283425154053</v>
      </c>
      <c r="Z58" s="48">
        <f t="shared" si="27"/>
        <v>1313.1638236240749</v>
      </c>
      <c r="AA58" s="48">
        <f t="shared" si="19"/>
        <v>1341.2228796844183</v>
      </c>
      <c r="AB58" s="48">
        <f t="shared" si="19"/>
        <v>1401.0989010989015</v>
      </c>
      <c r="AD58" s="67">
        <f t="shared" si="37"/>
        <v>110.96234309623432</v>
      </c>
      <c r="AE58" s="67">
        <f t="shared" si="33"/>
        <v>113.33333333333334</v>
      </c>
      <c r="AF58" s="67">
        <f t="shared" si="33"/>
        <v>118.39285714285717</v>
      </c>
      <c r="AH58" s="48">
        <f t="shared" si="29"/>
        <v>1202.2014805278407</v>
      </c>
      <c r="AI58" s="48">
        <f t="shared" si="21"/>
        <v>1227.8895463510851</v>
      </c>
      <c r="AJ58" s="48">
        <f t="shared" si="21"/>
        <v>1282.7060439560444</v>
      </c>
      <c r="AL58" s="9">
        <f t="shared" si="38"/>
        <v>1119.2495783714196</v>
      </c>
      <c r="AM58" s="9">
        <f t="shared" si="22"/>
        <v>1143.1651676528602</v>
      </c>
      <c r="AN58" s="9">
        <f t="shared" si="22"/>
        <v>1194.1993269230773</v>
      </c>
      <c r="AP58" s="8">
        <f t="shared" si="31"/>
        <v>81.749700675893166</v>
      </c>
      <c r="AQ58" s="8">
        <f t="shared" si="23"/>
        <v>83.496489151873774</v>
      </c>
      <c r="AR58" s="8">
        <f t="shared" si="23"/>
        <v>87.22401098901102</v>
      </c>
      <c r="AT58" s="8">
        <f t="shared" si="32"/>
        <v>1.2022014805279468</v>
      </c>
      <c r="AU58" s="8">
        <f t="shared" si="24"/>
        <v>1.2278895463512072</v>
      </c>
      <c r="AV58" s="8">
        <f t="shared" si="24"/>
        <v>1.2827060439560682</v>
      </c>
    </row>
    <row r="59" spans="2:48" x14ac:dyDescent="0.25">
      <c r="B59" s="27" t="s">
        <v>31</v>
      </c>
      <c r="D59" s="7">
        <v>49.5</v>
      </c>
      <c r="E59" s="7">
        <v>48.6</v>
      </c>
      <c r="F59" s="7">
        <v>46.5</v>
      </c>
      <c r="G59" s="7"/>
      <c r="H59">
        <f t="shared" si="39"/>
        <v>4950</v>
      </c>
      <c r="I59">
        <f t="shared" si="34"/>
        <v>4860</v>
      </c>
      <c r="J59">
        <f t="shared" si="34"/>
        <v>4650</v>
      </c>
      <c r="L59" s="6">
        <v>1205</v>
      </c>
      <c r="M59" s="6">
        <v>1205</v>
      </c>
      <c r="N59" s="6">
        <v>1205</v>
      </c>
      <c r="Q59" s="7">
        <f t="shared" si="40"/>
        <v>4.1078838174273855</v>
      </c>
      <c r="R59" s="7">
        <f t="shared" si="35"/>
        <v>4.0331950207468878</v>
      </c>
      <c r="S59" s="7">
        <f t="shared" si="35"/>
        <v>3.8589211618257262</v>
      </c>
      <c r="U59" s="27" t="s">
        <v>52</v>
      </c>
      <c r="V59" s="47">
        <f t="shared" si="36"/>
        <v>1034.6989966555184</v>
      </c>
      <c r="W59" s="47">
        <f t="shared" si="18"/>
        <v>1060.6385258195844</v>
      </c>
      <c r="X59" s="47">
        <f t="shared" si="18"/>
        <v>956.70660997294169</v>
      </c>
      <c r="Y59" s="47">
        <f t="shared" si="26"/>
        <v>1017.3480441493481</v>
      </c>
      <c r="Z59" s="48">
        <f t="shared" si="27"/>
        <v>1655.5183946488296</v>
      </c>
      <c r="AA59" s="48">
        <f t="shared" si="19"/>
        <v>1697.0216413113351</v>
      </c>
      <c r="AB59" s="48">
        <f t="shared" si="19"/>
        <v>1530.7305759567066</v>
      </c>
      <c r="AD59" s="67">
        <f t="shared" si="37"/>
        <v>139.89130434782609</v>
      </c>
      <c r="AE59" s="67">
        <f t="shared" si="33"/>
        <v>143.3983286908078</v>
      </c>
      <c r="AF59" s="67">
        <f t="shared" si="33"/>
        <v>129.34673366834173</v>
      </c>
      <c r="AH59" s="48">
        <f t="shared" si="29"/>
        <v>1515.6270903010036</v>
      </c>
      <c r="AI59" s="48">
        <f t="shared" si="21"/>
        <v>1553.6233126205273</v>
      </c>
      <c r="AJ59" s="48">
        <f t="shared" si="21"/>
        <v>1401.3838422883648</v>
      </c>
      <c r="AL59" s="9">
        <f t="shared" si="38"/>
        <v>1411.0488210702342</v>
      </c>
      <c r="AM59" s="9">
        <f t="shared" si="22"/>
        <v>1446.4233040497109</v>
      </c>
      <c r="AN59" s="9">
        <f t="shared" si="22"/>
        <v>1304.6883571704675</v>
      </c>
      <c r="AP59" s="8">
        <f t="shared" si="31"/>
        <v>103.06264214046823</v>
      </c>
      <c r="AQ59" s="8">
        <f t="shared" si="23"/>
        <v>105.64638525819583</v>
      </c>
      <c r="AR59" s="8">
        <f t="shared" si="23"/>
        <v>95.29410127560881</v>
      </c>
      <c r="AT59" s="8">
        <f t="shared" si="32"/>
        <v>1.5156270903012228</v>
      </c>
      <c r="AU59" s="8">
        <f t="shared" si="24"/>
        <v>1.5536233126206298</v>
      </c>
      <c r="AV59" s="8">
        <f t="shared" si="24"/>
        <v>1.4013838422883964</v>
      </c>
    </row>
    <row r="60" spans="2:48" x14ac:dyDescent="0.25">
      <c r="B60" s="27" t="s">
        <v>34</v>
      </c>
      <c r="D60" s="7">
        <v>39.6</v>
      </c>
      <c r="E60" s="7">
        <v>38.9</v>
      </c>
      <c r="F60" s="7">
        <v>36.799999999999997</v>
      </c>
      <c r="G60" s="7"/>
      <c r="H60">
        <f t="shared" si="39"/>
        <v>3960</v>
      </c>
      <c r="I60">
        <f t="shared" si="34"/>
        <v>3890</v>
      </c>
      <c r="J60">
        <f t="shared" si="34"/>
        <v>3679.9999999999995</v>
      </c>
      <c r="L60" s="6">
        <v>1188</v>
      </c>
      <c r="M60" s="6">
        <v>1188</v>
      </c>
      <c r="N60" s="6">
        <v>1188</v>
      </c>
      <c r="Q60" s="7">
        <f t="shared" si="40"/>
        <v>3.3333333333333335</v>
      </c>
      <c r="R60" s="7">
        <f t="shared" si="35"/>
        <v>3.2744107744107742</v>
      </c>
      <c r="S60" s="7">
        <f t="shared" si="35"/>
        <v>3.0976430976430973</v>
      </c>
      <c r="U60" s="27" t="s">
        <v>53</v>
      </c>
      <c r="V60" s="47">
        <f t="shared" si="36"/>
        <v>1011.59114857745</v>
      </c>
      <c r="W60" s="47">
        <f t="shared" si="18"/>
        <v>809.71659919028332</v>
      </c>
      <c r="X60" s="47">
        <f t="shared" si="18"/>
        <v>868.77828054298641</v>
      </c>
      <c r="Y60" s="47">
        <f t="shared" si="26"/>
        <v>896.69534277024002</v>
      </c>
      <c r="Z60" s="48">
        <f t="shared" si="27"/>
        <v>1618.5458377239202</v>
      </c>
      <c r="AA60" s="48">
        <f t="shared" si="19"/>
        <v>1295.5465587044532</v>
      </c>
      <c r="AB60" s="48">
        <f t="shared" si="19"/>
        <v>1390.0452488687783</v>
      </c>
      <c r="AD60" s="67">
        <f t="shared" si="37"/>
        <v>136.76712328767127</v>
      </c>
      <c r="AE60" s="67">
        <f t="shared" si="33"/>
        <v>109.47368421052632</v>
      </c>
      <c r="AF60" s="67">
        <f t="shared" si="33"/>
        <v>117.45882352941179</v>
      </c>
      <c r="AH60" s="48">
        <f t="shared" si="29"/>
        <v>1481.7787144362489</v>
      </c>
      <c r="AI60" s="48">
        <f t="shared" si="21"/>
        <v>1186.072874493927</v>
      </c>
      <c r="AJ60" s="48">
        <f t="shared" si="21"/>
        <v>1272.5864253393665</v>
      </c>
      <c r="AL60" s="9">
        <f t="shared" si="38"/>
        <v>1379.5359831401477</v>
      </c>
      <c r="AM60" s="9">
        <f t="shared" si="22"/>
        <v>1104.2338461538459</v>
      </c>
      <c r="AN60" s="9">
        <f t="shared" si="22"/>
        <v>1184.7779619909502</v>
      </c>
      <c r="AP60" s="8">
        <f t="shared" si="31"/>
        <v>100.76095258166494</v>
      </c>
      <c r="AQ60" s="8">
        <f t="shared" si="23"/>
        <v>80.652955465587027</v>
      </c>
      <c r="AR60" s="8">
        <f t="shared" si="23"/>
        <v>86.535876923076927</v>
      </c>
      <c r="AT60" s="8">
        <f t="shared" si="32"/>
        <v>1.4817787144363592</v>
      </c>
      <c r="AU60" s="8">
        <f t="shared" si="24"/>
        <v>1.1860728744941298</v>
      </c>
      <c r="AV60" s="8">
        <f t="shared" si="24"/>
        <v>1.2725864253393411</v>
      </c>
    </row>
    <row r="61" spans="2:48" x14ac:dyDescent="0.25">
      <c r="B61" s="27" t="s">
        <v>38</v>
      </c>
      <c r="D61" s="7">
        <v>46.5</v>
      </c>
      <c r="E61" s="7">
        <v>48.9</v>
      </c>
      <c r="F61" s="7">
        <v>45.6</v>
      </c>
      <c r="G61" s="7"/>
      <c r="H61">
        <f t="shared" si="39"/>
        <v>4650</v>
      </c>
      <c r="I61">
        <f t="shared" si="34"/>
        <v>4890</v>
      </c>
      <c r="J61">
        <f t="shared" si="34"/>
        <v>4560</v>
      </c>
      <c r="L61" s="6">
        <v>1168</v>
      </c>
      <c r="M61" s="6">
        <v>1168</v>
      </c>
      <c r="N61" s="6">
        <v>1168</v>
      </c>
      <c r="Q61" s="7">
        <f t="shared" si="40"/>
        <v>3.9811643835616439</v>
      </c>
      <c r="R61" s="7">
        <f t="shared" si="35"/>
        <v>4.1866438356164384</v>
      </c>
      <c r="S61" s="7">
        <f t="shared" si="35"/>
        <v>3.904109589041096</v>
      </c>
      <c r="U61" s="27" t="s">
        <v>55</v>
      </c>
      <c r="V61" s="47">
        <f t="shared" si="36"/>
        <v>690.33530571992105</v>
      </c>
      <c r="W61" s="47">
        <f t="shared" si="18"/>
        <v>635.97819503331311</v>
      </c>
      <c r="X61" s="47">
        <f t="shared" si="18"/>
        <v>684.4850065189047</v>
      </c>
      <c r="Y61" s="47">
        <f t="shared" si="26"/>
        <v>670.26616909071299</v>
      </c>
      <c r="Z61" s="48">
        <f t="shared" si="27"/>
        <v>1104.5364891518739</v>
      </c>
      <c r="AA61" s="48">
        <f t="shared" si="19"/>
        <v>1017.5651120533009</v>
      </c>
      <c r="AB61" s="48">
        <f t="shared" si="19"/>
        <v>1095.1760104302475</v>
      </c>
      <c r="AD61" s="67">
        <f t="shared" si="37"/>
        <v>93.333333333333343</v>
      </c>
      <c r="AE61" s="67">
        <f t="shared" si="33"/>
        <v>85.984251968503941</v>
      </c>
      <c r="AF61" s="67">
        <f t="shared" si="33"/>
        <v>92.542372881355931</v>
      </c>
      <c r="AH61" s="48">
        <f t="shared" si="29"/>
        <v>1011.2031558185405</v>
      </c>
      <c r="AI61" s="48">
        <f t="shared" si="21"/>
        <v>931.580860084797</v>
      </c>
      <c r="AJ61" s="48">
        <f t="shared" si="21"/>
        <v>1002.6336375488916</v>
      </c>
      <c r="AL61" s="9">
        <f t="shared" si="38"/>
        <v>941.43013806706119</v>
      </c>
      <c r="AM61" s="9">
        <f t="shared" si="22"/>
        <v>867.30178073894592</v>
      </c>
      <c r="AN61" s="9">
        <f t="shared" si="22"/>
        <v>933.45191655801796</v>
      </c>
      <c r="AP61" s="8">
        <f t="shared" si="31"/>
        <v>68.761814595660752</v>
      </c>
      <c r="AQ61" s="8">
        <f t="shared" si="23"/>
        <v>63.347498485766188</v>
      </c>
      <c r="AR61" s="8">
        <f t="shared" si="23"/>
        <v>68.179087353324618</v>
      </c>
      <c r="AT61" s="8">
        <f t="shared" si="32"/>
        <v>1.0112031558185208</v>
      </c>
      <c r="AU61" s="8">
        <f t="shared" si="24"/>
        <v>0.93158086008486407</v>
      </c>
      <c r="AV61" s="8">
        <f t="shared" si="24"/>
        <v>1.0026336375490246</v>
      </c>
    </row>
    <row r="62" spans="2:48" x14ac:dyDescent="0.25">
      <c r="B62" s="27" t="s">
        <v>40</v>
      </c>
      <c r="D62" s="7">
        <v>52.6</v>
      </c>
      <c r="E62" s="7">
        <v>50.8</v>
      </c>
      <c r="F62" s="7">
        <v>48.9</v>
      </c>
      <c r="G62" s="7"/>
      <c r="H62">
        <f t="shared" si="39"/>
        <v>5260</v>
      </c>
      <c r="I62">
        <f t="shared" si="34"/>
        <v>5080</v>
      </c>
      <c r="J62">
        <f t="shared" si="34"/>
        <v>4890</v>
      </c>
      <c r="L62" s="6">
        <v>1084</v>
      </c>
      <c r="M62" s="6">
        <v>1084</v>
      </c>
      <c r="N62" s="6">
        <v>1084</v>
      </c>
      <c r="Q62" s="7">
        <f t="shared" si="40"/>
        <v>4.8523985239852401</v>
      </c>
      <c r="R62" s="7">
        <f t="shared" si="35"/>
        <v>4.6863468634686347</v>
      </c>
      <c r="S62" s="7">
        <f t="shared" si="35"/>
        <v>4.5110701107011071</v>
      </c>
      <c r="U62" s="27" t="s">
        <v>56</v>
      </c>
      <c r="V62" s="47">
        <f t="shared" si="36"/>
        <v>933.63101278668569</v>
      </c>
      <c r="W62" s="47">
        <f t="shared" si="18"/>
        <v>936.10093610093611</v>
      </c>
      <c r="X62" s="47">
        <f t="shared" si="18"/>
        <v>961.53846153846155</v>
      </c>
      <c r="Y62" s="47">
        <f t="shared" si="26"/>
        <v>943.75680347536115</v>
      </c>
      <c r="Z62" s="48">
        <f t="shared" si="27"/>
        <v>1493.8096204586971</v>
      </c>
      <c r="AA62" s="48">
        <f t="shared" si="19"/>
        <v>1497.761497761498</v>
      </c>
      <c r="AB62" s="48">
        <f t="shared" si="19"/>
        <v>1538.4615384615386</v>
      </c>
      <c r="AD62" s="67">
        <f t="shared" si="37"/>
        <v>126.2269129287599</v>
      </c>
      <c r="AE62" s="67">
        <f t="shared" si="33"/>
        <v>126.56084656084657</v>
      </c>
      <c r="AF62" s="67">
        <f t="shared" si="33"/>
        <v>130</v>
      </c>
      <c r="AH62" s="48">
        <f t="shared" si="29"/>
        <v>1367.5827075299371</v>
      </c>
      <c r="AI62" s="48">
        <f t="shared" si="21"/>
        <v>1371.2006512006515</v>
      </c>
      <c r="AJ62" s="48">
        <f t="shared" si="21"/>
        <v>1408.4615384615386</v>
      </c>
      <c r="AL62" s="9">
        <f t="shared" si="38"/>
        <v>1273.2195007103714</v>
      </c>
      <c r="AM62" s="9">
        <f t="shared" si="22"/>
        <v>1276.5878062678064</v>
      </c>
      <c r="AN62" s="9">
        <f t="shared" si="22"/>
        <v>1311.2776923076922</v>
      </c>
      <c r="AP62" s="8">
        <f t="shared" si="31"/>
        <v>92.995624112035728</v>
      </c>
      <c r="AQ62" s="8">
        <f t="shared" si="23"/>
        <v>93.241644281644298</v>
      </c>
      <c r="AR62" s="8">
        <f t="shared" si="23"/>
        <v>95.775384615384624</v>
      </c>
      <c r="AT62" s="8">
        <f t="shared" si="32"/>
        <v>1.3675827075298912</v>
      </c>
      <c r="AU62" s="8">
        <f t="shared" si="24"/>
        <v>1.371200651200752</v>
      </c>
      <c r="AV62" s="8">
        <f t="shared" si="24"/>
        <v>1.4084615384617791</v>
      </c>
    </row>
    <row r="63" spans="2:48" x14ac:dyDescent="0.25">
      <c r="B63" s="27" t="s">
        <v>42</v>
      </c>
      <c r="D63" s="7">
        <v>39.799999999999997</v>
      </c>
      <c r="E63" s="7">
        <v>39.4</v>
      </c>
      <c r="F63" s="7">
        <v>40.799999999999997</v>
      </c>
      <c r="G63" s="7"/>
      <c r="H63">
        <f t="shared" si="39"/>
        <v>3979.9999999999995</v>
      </c>
      <c r="I63">
        <f t="shared" si="34"/>
        <v>3940</v>
      </c>
      <c r="J63">
        <f t="shared" si="34"/>
        <v>4079.9999999999995</v>
      </c>
      <c r="L63" s="6">
        <v>1138</v>
      </c>
      <c r="M63" s="6">
        <v>1138</v>
      </c>
      <c r="N63" s="6">
        <v>1138</v>
      </c>
      <c r="Q63" s="7">
        <f t="shared" si="40"/>
        <v>3.4973637961335671</v>
      </c>
      <c r="R63" s="7">
        <f t="shared" si="35"/>
        <v>3.4622144112478033</v>
      </c>
      <c r="S63" s="7">
        <f t="shared" si="35"/>
        <v>3.5852372583479784</v>
      </c>
      <c r="U63" s="27" t="s">
        <v>57</v>
      </c>
      <c r="V63" s="47">
        <f t="shared" si="36"/>
        <v>827.53432386684221</v>
      </c>
      <c r="W63" s="47">
        <f t="shared" si="36"/>
        <v>809.71659919028343</v>
      </c>
      <c r="X63" s="47">
        <f t="shared" si="36"/>
        <v>783.47578347578337</v>
      </c>
      <c r="Y63" s="47">
        <f t="shared" si="26"/>
        <v>806.90890217763626</v>
      </c>
      <c r="Z63" s="48">
        <f t="shared" si="27"/>
        <v>1324.0549181869476</v>
      </c>
      <c r="AA63" s="48">
        <f t="shared" si="27"/>
        <v>1295.5465587044537</v>
      </c>
      <c r="AB63" s="48">
        <f t="shared" si="27"/>
        <v>1253.5612535612536</v>
      </c>
      <c r="AD63" s="67">
        <f t="shared" si="37"/>
        <v>111.88264058679708</v>
      </c>
      <c r="AE63" s="67">
        <f t="shared" si="33"/>
        <v>109.47368421052633</v>
      </c>
      <c r="AF63" s="67">
        <f t="shared" si="33"/>
        <v>105.92592592592592</v>
      </c>
      <c r="AH63" s="48">
        <f t="shared" si="29"/>
        <v>1212.1722776001504</v>
      </c>
      <c r="AI63" s="48">
        <f t="shared" si="29"/>
        <v>1186.0728744939274</v>
      </c>
      <c r="AJ63" s="48">
        <f t="shared" si="29"/>
        <v>1147.6353276353277</v>
      </c>
      <c r="AL63" s="9">
        <f t="shared" si="38"/>
        <v>1128.53239044574</v>
      </c>
      <c r="AM63" s="9">
        <f t="shared" si="38"/>
        <v>1104.2338461538463</v>
      </c>
      <c r="AN63" s="9">
        <f t="shared" si="38"/>
        <v>1068.4484900284901</v>
      </c>
      <c r="AP63" s="8">
        <f t="shared" si="31"/>
        <v>82.427714876810228</v>
      </c>
      <c r="AQ63" s="8">
        <f t="shared" si="31"/>
        <v>80.65295546558707</v>
      </c>
      <c r="AR63" s="8">
        <f t="shared" si="31"/>
        <v>78.039202279202286</v>
      </c>
      <c r="AT63" s="8">
        <f t="shared" si="32"/>
        <v>1.2121722776003026</v>
      </c>
      <c r="AU63" s="8">
        <f t="shared" si="32"/>
        <v>1.1860728744941298</v>
      </c>
      <c r="AV63" s="8">
        <f t="shared" si="32"/>
        <v>1.1476353276352711</v>
      </c>
    </row>
    <row r="64" spans="2:48" x14ac:dyDescent="0.25">
      <c r="B64" s="27" t="s">
        <v>44</v>
      </c>
      <c r="D64" s="7">
        <v>44.6</v>
      </c>
      <c r="E64" s="7">
        <v>43.8</v>
      </c>
      <c r="F64" s="7">
        <v>42.8</v>
      </c>
      <c r="G64" s="7"/>
      <c r="H64">
        <f t="shared" si="39"/>
        <v>4460</v>
      </c>
      <c r="I64">
        <f t="shared" si="34"/>
        <v>4380</v>
      </c>
      <c r="J64">
        <f t="shared" si="34"/>
        <v>4280</v>
      </c>
      <c r="L64" s="6">
        <v>1118</v>
      </c>
      <c r="M64" s="6">
        <v>1118</v>
      </c>
      <c r="N64" s="6">
        <v>1118</v>
      </c>
      <c r="Q64" s="7">
        <f t="shared" si="40"/>
        <v>3.9892665474060824</v>
      </c>
      <c r="R64" s="7">
        <f t="shared" si="35"/>
        <v>3.9177101967799643</v>
      </c>
      <c r="S64" s="7">
        <f t="shared" si="35"/>
        <v>3.8282647584973168</v>
      </c>
      <c r="U64" s="27" t="s">
        <v>58</v>
      </c>
      <c r="V64" s="47">
        <f t="shared" si="36"/>
        <v>914.01414677276762</v>
      </c>
      <c r="W64" s="47">
        <f t="shared" si="36"/>
        <v>845.94926350245487</v>
      </c>
      <c r="X64" s="47">
        <f t="shared" si="36"/>
        <v>903.62762237762229</v>
      </c>
      <c r="Y64" s="47">
        <f t="shared" si="26"/>
        <v>887.86367755094818</v>
      </c>
      <c r="Z64" s="48">
        <f t="shared" si="27"/>
        <v>1462.4226348364282</v>
      </c>
      <c r="AA64" s="48">
        <f t="shared" si="27"/>
        <v>1353.5188216039278</v>
      </c>
      <c r="AB64" s="48">
        <f t="shared" si="27"/>
        <v>1445.8041958041958</v>
      </c>
      <c r="AD64" s="67">
        <f t="shared" si="37"/>
        <v>123.5747126436782</v>
      </c>
      <c r="AE64" s="67">
        <f t="shared" si="33"/>
        <v>114.37234042553192</v>
      </c>
      <c r="AF64" s="67">
        <f t="shared" si="33"/>
        <v>122.17045454545455</v>
      </c>
      <c r="AH64" s="48">
        <f t="shared" si="29"/>
        <v>1338.84792219275</v>
      </c>
      <c r="AI64" s="48">
        <f t="shared" si="29"/>
        <v>1239.1464811783958</v>
      </c>
      <c r="AJ64" s="48">
        <f t="shared" si="29"/>
        <v>1323.6337412587413</v>
      </c>
      <c r="AL64" s="9">
        <f t="shared" si="38"/>
        <v>1246.4674155614503</v>
      </c>
      <c r="AM64" s="9">
        <f t="shared" si="38"/>
        <v>1153.6453739770864</v>
      </c>
      <c r="AN64" s="9">
        <f t="shared" si="38"/>
        <v>1232.303013111888</v>
      </c>
      <c r="AP64" s="8">
        <f t="shared" si="31"/>
        <v>91.041658709106997</v>
      </c>
      <c r="AQ64" s="8">
        <f t="shared" si="31"/>
        <v>84.261960720130915</v>
      </c>
      <c r="AR64" s="8">
        <f t="shared" si="31"/>
        <v>90.007094405594415</v>
      </c>
      <c r="AT64" s="8">
        <f t="shared" si="32"/>
        <v>1.3388479221928264</v>
      </c>
      <c r="AU64" s="8">
        <f t="shared" si="32"/>
        <v>1.2391464811785227</v>
      </c>
      <c r="AV64" s="8">
        <f t="shared" si="32"/>
        <v>1.3236337412588455</v>
      </c>
    </row>
    <row r="65" spans="2:31" x14ac:dyDescent="0.25">
      <c r="B65" s="27" t="s">
        <v>46</v>
      </c>
      <c r="D65" s="7">
        <v>39.5</v>
      </c>
      <c r="E65" s="7">
        <v>36.799999999999997</v>
      </c>
      <c r="F65" s="7">
        <v>34.5</v>
      </c>
      <c r="G65" s="7"/>
      <c r="H65">
        <f t="shared" si="39"/>
        <v>3950</v>
      </c>
      <c r="I65">
        <f t="shared" si="34"/>
        <v>3679.9999999999995</v>
      </c>
      <c r="J65">
        <f t="shared" si="34"/>
        <v>3450</v>
      </c>
      <c r="L65" s="6">
        <v>1076</v>
      </c>
      <c r="M65" s="6">
        <v>1076</v>
      </c>
      <c r="N65" s="6">
        <v>1076</v>
      </c>
      <c r="Q65" s="7">
        <f t="shared" si="40"/>
        <v>3.6710037174721188</v>
      </c>
      <c r="R65" s="7">
        <f t="shared" si="35"/>
        <v>3.4200743494423786</v>
      </c>
      <c r="S65" s="7">
        <f t="shared" si="35"/>
        <v>3.2063197026022303</v>
      </c>
    </row>
    <row r="66" spans="2:31" x14ac:dyDescent="0.25">
      <c r="B66" s="27" t="s">
        <v>48</v>
      </c>
      <c r="D66" s="7">
        <v>20.100000000000001</v>
      </c>
      <c r="E66" s="7">
        <v>22.6</v>
      </c>
      <c r="F66" s="7">
        <v>26.5</v>
      </c>
      <c r="G66" s="7"/>
      <c r="H66">
        <f t="shared" si="39"/>
        <v>2010.0000000000002</v>
      </c>
      <c r="I66">
        <f t="shared" si="34"/>
        <v>2260</v>
      </c>
      <c r="J66">
        <f t="shared" si="34"/>
        <v>2650</v>
      </c>
      <c r="L66" s="9">
        <v>1100</v>
      </c>
      <c r="M66" s="9">
        <v>1100</v>
      </c>
      <c r="N66" s="9">
        <v>1100</v>
      </c>
      <c r="Q66" s="7">
        <f t="shared" si="40"/>
        <v>1.8272727272727274</v>
      </c>
      <c r="R66" s="7">
        <f t="shared" si="35"/>
        <v>2.0545454545454547</v>
      </c>
      <c r="S66" s="7">
        <f t="shared" si="35"/>
        <v>2.4090909090909092</v>
      </c>
    </row>
    <row r="67" spans="2:31" x14ac:dyDescent="0.25">
      <c r="B67" s="27" t="s">
        <v>49</v>
      </c>
      <c r="D67" s="7">
        <v>39.799999999999997</v>
      </c>
      <c r="E67" s="7">
        <v>35.1</v>
      </c>
      <c r="F67" s="7">
        <v>39.5</v>
      </c>
      <c r="G67" s="7"/>
      <c r="H67">
        <f t="shared" si="39"/>
        <v>3979.9999999999995</v>
      </c>
      <c r="I67">
        <f t="shared" si="34"/>
        <v>3510</v>
      </c>
      <c r="J67">
        <f t="shared" si="34"/>
        <v>3950</v>
      </c>
      <c r="L67" s="9">
        <v>1065</v>
      </c>
      <c r="M67" s="9">
        <v>1065</v>
      </c>
      <c r="N67" s="9">
        <v>1065</v>
      </c>
      <c r="Q67" s="7">
        <f t="shared" si="40"/>
        <v>3.737089201877934</v>
      </c>
      <c r="R67" s="7">
        <f t="shared" si="35"/>
        <v>3.295774647887324</v>
      </c>
      <c r="S67" s="7">
        <f t="shared" si="35"/>
        <v>3.708920187793427</v>
      </c>
    </row>
    <row r="68" spans="2:31" x14ac:dyDescent="0.25">
      <c r="B68" s="27" t="s">
        <v>50</v>
      </c>
      <c r="D68" s="7">
        <v>48.95</v>
      </c>
      <c r="E68" s="7">
        <v>49.5</v>
      </c>
      <c r="F68" s="7">
        <v>44.5</v>
      </c>
      <c r="G68" s="7"/>
      <c r="H68">
        <f t="shared" si="39"/>
        <v>4895</v>
      </c>
      <c r="I68">
        <f t="shared" si="34"/>
        <v>4950</v>
      </c>
      <c r="J68">
        <f t="shared" si="34"/>
        <v>4450</v>
      </c>
      <c r="L68" s="9">
        <v>1018</v>
      </c>
      <c r="M68" s="9">
        <v>1018</v>
      </c>
      <c r="N68" s="9">
        <v>1018</v>
      </c>
      <c r="Q68" s="7">
        <f t="shared" si="40"/>
        <v>4.8084479371316302</v>
      </c>
      <c r="R68" s="7">
        <f t="shared" si="35"/>
        <v>4.8624754420432224</v>
      </c>
      <c r="S68" s="7">
        <f t="shared" si="35"/>
        <v>4.3713163064833003</v>
      </c>
    </row>
    <row r="69" spans="2:31" x14ac:dyDescent="0.25">
      <c r="B69" s="27" t="s">
        <v>52</v>
      </c>
      <c r="D69" s="7">
        <v>38.4</v>
      </c>
      <c r="E69" s="7">
        <v>37.799999999999997</v>
      </c>
      <c r="F69" s="7">
        <v>35.4</v>
      </c>
      <c r="G69" s="7"/>
      <c r="H69">
        <f t="shared" si="39"/>
        <v>3840</v>
      </c>
      <c r="I69">
        <f t="shared" si="34"/>
        <v>3779.9999999999995</v>
      </c>
      <c r="J69">
        <f t="shared" si="34"/>
        <v>3540</v>
      </c>
      <c r="L69" s="9">
        <v>999</v>
      </c>
      <c r="M69" s="9">
        <v>999</v>
      </c>
      <c r="N69" s="9">
        <v>999</v>
      </c>
      <c r="Q69" s="7">
        <f t="shared" si="40"/>
        <v>3.8438438438438438</v>
      </c>
      <c r="R69" s="7">
        <f t="shared" si="35"/>
        <v>3.7837837837837833</v>
      </c>
      <c r="S69" s="7">
        <f t="shared" si="35"/>
        <v>3.5435435435435436</v>
      </c>
    </row>
    <row r="70" spans="2:31" x14ac:dyDescent="0.25">
      <c r="B70" s="27" t="s">
        <v>53</v>
      </c>
      <c r="D70" s="7">
        <v>37.5</v>
      </c>
      <c r="E70" s="7">
        <v>47.5</v>
      </c>
      <c r="F70" s="7">
        <v>43.5</v>
      </c>
      <c r="G70" s="7"/>
      <c r="H70">
        <f t="shared" si="39"/>
        <v>3750</v>
      </c>
      <c r="I70">
        <f t="shared" si="34"/>
        <v>4750</v>
      </c>
      <c r="J70">
        <f t="shared" si="34"/>
        <v>4350</v>
      </c>
      <c r="L70" s="9">
        <v>968</v>
      </c>
      <c r="M70" s="9">
        <v>968</v>
      </c>
      <c r="N70" s="9">
        <v>968</v>
      </c>
      <c r="Q70" s="7">
        <f t="shared" si="40"/>
        <v>3.8739669421487601</v>
      </c>
      <c r="R70" s="7">
        <f t="shared" si="35"/>
        <v>4.9070247933884295</v>
      </c>
      <c r="S70" s="7">
        <f t="shared" si="35"/>
        <v>4.4938016528925617</v>
      </c>
    </row>
    <row r="71" spans="2:31" x14ac:dyDescent="0.25">
      <c r="B71" s="27" t="s">
        <v>55</v>
      </c>
      <c r="D71" s="7">
        <v>47.5</v>
      </c>
      <c r="E71" s="7">
        <v>53.5</v>
      </c>
      <c r="F71" s="7">
        <v>47.8</v>
      </c>
      <c r="G71" s="7"/>
      <c r="H71">
        <f t="shared" si="39"/>
        <v>4750</v>
      </c>
      <c r="I71">
        <f t="shared" si="34"/>
        <v>5350</v>
      </c>
      <c r="J71">
        <f t="shared" si="34"/>
        <v>4780</v>
      </c>
      <c r="L71" s="9">
        <v>856</v>
      </c>
      <c r="M71" s="9">
        <v>856</v>
      </c>
      <c r="N71" s="9">
        <v>856</v>
      </c>
      <c r="Q71" s="7">
        <f t="shared" si="40"/>
        <v>5.5490654205607477</v>
      </c>
      <c r="R71" s="7">
        <f t="shared" si="35"/>
        <v>6.25</v>
      </c>
      <c r="S71" s="7">
        <f t="shared" si="35"/>
        <v>5.58411214953271</v>
      </c>
    </row>
    <row r="72" spans="2:31" x14ac:dyDescent="0.25">
      <c r="B72" s="27" t="s">
        <v>56</v>
      </c>
      <c r="D72" s="7">
        <v>40.5</v>
      </c>
      <c r="E72" s="7">
        <v>35.799999999999997</v>
      </c>
      <c r="F72" s="7">
        <v>41.6</v>
      </c>
      <c r="G72" s="7"/>
      <c r="H72">
        <f t="shared" si="39"/>
        <v>4050</v>
      </c>
      <c r="I72">
        <f t="shared" si="34"/>
        <v>3579.9999999999995</v>
      </c>
      <c r="J72">
        <f t="shared" si="34"/>
        <v>4160</v>
      </c>
      <c r="L72" s="9">
        <v>928</v>
      </c>
      <c r="M72" s="9">
        <v>928</v>
      </c>
      <c r="N72" s="9">
        <v>928</v>
      </c>
      <c r="Q72" s="7">
        <f t="shared" si="40"/>
        <v>4.3642241379310347</v>
      </c>
      <c r="R72" s="7">
        <f t="shared" si="35"/>
        <v>3.8577586206896548</v>
      </c>
      <c r="S72" s="7">
        <f t="shared" si="35"/>
        <v>4.4827586206896548</v>
      </c>
    </row>
    <row r="73" spans="2:31" x14ac:dyDescent="0.25">
      <c r="B73" s="27" t="s">
        <v>57</v>
      </c>
      <c r="D73" s="7">
        <v>41.5</v>
      </c>
      <c r="E73" s="7">
        <v>42.6</v>
      </c>
      <c r="F73" s="7">
        <v>45.3</v>
      </c>
      <c r="G73" s="7"/>
      <c r="H73">
        <f t="shared" si="39"/>
        <v>4150</v>
      </c>
      <c r="I73">
        <f t="shared" si="34"/>
        <v>4260</v>
      </c>
      <c r="J73">
        <f t="shared" si="34"/>
        <v>4530</v>
      </c>
      <c r="L73" s="9">
        <v>884</v>
      </c>
      <c r="M73" s="9">
        <v>884</v>
      </c>
      <c r="N73" s="9">
        <v>884</v>
      </c>
      <c r="Q73" s="7">
        <f t="shared" si="40"/>
        <v>4.6945701357466065</v>
      </c>
      <c r="R73" s="7">
        <f t="shared" si="35"/>
        <v>4.8190045248868776</v>
      </c>
      <c r="S73" s="7">
        <f t="shared" si="35"/>
        <v>5.1244343891402711</v>
      </c>
    </row>
    <row r="74" spans="2:31" x14ac:dyDescent="0.25">
      <c r="B74" s="27" t="s">
        <v>58</v>
      </c>
      <c r="D74" s="7">
        <v>35.6</v>
      </c>
      <c r="E74" s="7">
        <v>38.6</v>
      </c>
      <c r="F74" s="7">
        <v>34.5</v>
      </c>
      <c r="G74" s="7"/>
      <c r="H74">
        <f t="shared" si="39"/>
        <v>3560</v>
      </c>
      <c r="I74">
        <f t="shared" si="34"/>
        <v>3860</v>
      </c>
      <c r="J74">
        <f t="shared" si="34"/>
        <v>3450</v>
      </c>
      <c r="L74" s="9">
        <v>837</v>
      </c>
      <c r="M74" s="9">
        <v>837</v>
      </c>
      <c r="N74" s="9">
        <v>837</v>
      </c>
      <c r="Q74" s="7">
        <f t="shared" si="40"/>
        <v>4.2532855436081238</v>
      </c>
      <c r="R74" s="7">
        <f t="shared" si="35"/>
        <v>4.6117084826762245</v>
      </c>
      <c r="S74" s="7">
        <f t="shared" si="35"/>
        <v>4.1218637992831537</v>
      </c>
    </row>
    <row r="76" spans="2:31" x14ac:dyDescent="0.25">
      <c r="E76" s="49" t="s">
        <v>74</v>
      </c>
      <c r="M76" s="49" t="s">
        <v>68</v>
      </c>
      <c r="R76" s="35" t="s">
        <v>117</v>
      </c>
      <c r="U76" s="68"/>
      <c r="V76" s="66" t="s">
        <v>75</v>
      </c>
      <c r="W76" s="66"/>
      <c r="X76" s="66"/>
      <c r="Y76" s="66"/>
      <c r="Z76" s="66" t="s">
        <v>76</v>
      </c>
      <c r="AA76" s="66"/>
      <c r="AB76" s="66"/>
      <c r="AC76" s="66"/>
      <c r="AD76" s="66" t="s">
        <v>77</v>
      </c>
      <c r="AE76" s="68"/>
    </row>
    <row r="77" spans="2:31" x14ac:dyDescent="0.25">
      <c r="C77" s="27" t="s">
        <v>22</v>
      </c>
      <c r="D77">
        <f>D57/10</f>
        <v>2.65</v>
      </c>
      <c r="E77">
        <f t="shared" ref="E77:F77" si="41">E57/10</f>
        <v>2.1800000000000002</v>
      </c>
      <c r="F77">
        <f t="shared" si="41"/>
        <v>2.3559999999999999</v>
      </c>
      <c r="K77" s="27" t="s">
        <v>22</v>
      </c>
      <c r="L77" s="47">
        <f>(L57/1000)*10000</f>
        <v>12629.999999999998</v>
      </c>
      <c r="M77" s="47">
        <f t="shared" ref="M77:N77" si="42">(M57/1000)*10000</f>
        <v>12629.999999999998</v>
      </c>
      <c r="N77" s="47">
        <f t="shared" si="42"/>
        <v>12629.999999999998</v>
      </c>
      <c r="Q77" s="48">
        <f>L77/D77</f>
        <v>4766.0377358490559</v>
      </c>
      <c r="R77" s="48">
        <f t="shared" ref="R77:S94" si="43">M77/E77</f>
        <v>5793.577981651375</v>
      </c>
      <c r="S77" s="48">
        <f t="shared" si="43"/>
        <v>5360.7809847198641</v>
      </c>
      <c r="U77" s="69">
        <f>(Q77*93.62)/100</f>
        <v>4461.9645283018863</v>
      </c>
      <c r="V77" s="69">
        <f t="shared" ref="V77:W94" si="44">(R77*93.62)/100</f>
        <v>5423.9477064220173</v>
      </c>
      <c r="W77" s="69">
        <f t="shared" si="44"/>
        <v>5018.7631578947367</v>
      </c>
      <c r="X77" s="68"/>
      <c r="Y77" s="70">
        <f>(Q77*6.3)/100</f>
        <v>300.26037735849053</v>
      </c>
      <c r="Z77" s="70">
        <f t="shared" ref="Z77:AA94" si="45">(R77*6.3)/100</f>
        <v>364.99541284403659</v>
      </c>
      <c r="AA77" s="70">
        <f t="shared" si="45"/>
        <v>337.7292020373514</v>
      </c>
      <c r="AB77" s="68"/>
      <c r="AC77" s="70">
        <f>(Q77-(U77+Y77))</f>
        <v>3.8128301886790723</v>
      </c>
      <c r="AD77" s="70">
        <f t="shared" ref="AD77:AE94" si="46">(R77-(V77+Z77))</f>
        <v>4.6348623853209574</v>
      </c>
      <c r="AE77" s="70">
        <f t="shared" si="46"/>
        <v>4.288624787775916</v>
      </c>
    </row>
    <row r="78" spans="2:31" x14ac:dyDescent="0.25">
      <c r="C78" s="27" t="s">
        <v>24</v>
      </c>
      <c r="D78" s="67">
        <f t="shared" ref="D78:F93" si="47">D58/10</f>
        <v>3.9560000000000004</v>
      </c>
      <c r="E78">
        <f t="shared" si="47"/>
        <v>4.3600000000000003</v>
      </c>
      <c r="F78">
        <f t="shared" si="47"/>
        <v>4.45</v>
      </c>
      <c r="K78" s="27" t="s">
        <v>24</v>
      </c>
      <c r="L78" s="47">
        <f t="shared" ref="L78:N93" si="48">(L58/1000)*10000</f>
        <v>12120</v>
      </c>
      <c r="M78" s="47">
        <f t="shared" si="48"/>
        <v>12120</v>
      </c>
      <c r="N78" s="47">
        <f t="shared" si="48"/>
        <v>12120</v>
      </c>
      <c r="Q78" s="48">
        <f t="shared" ref="Q78:Q94" si="49">L78/D78</f>
        <v>3063.700707785642</v>
      </c>
      <c r="R78" s="48">
        <f t="shared" si="43"/>
        <v>2779.8165137614678</v>
      </c>
      <c r="S78" s="48">
        <f t="shared" si="43"/>
        <v>2723.5955056179773</v>
      </c>
      <c r="U78" s="69">
        <f t="shared" ref="U78:U94" si="50">(Q78*93.62)/100</f>
        <v>2868.2366026289178</v>
      </c>
      <c r="V78" s="69">
        <f t="shared" si="44"/>
        <v>2602.4642201834863</v>
      </c>
      <c r="W78" s="69">
        <f t="shared" si="44"/>
        <v>2549.8301123595506</v>
      </c>
      <c r="X78" s="68"/>
      <c r="Y78" s="70">
        <f t="shared" ref="Y78:Y94" si="51">(Q78*6.3)/100</f>
        <v>193.01314459049544</v>
      </c>
      <c r="Z78" s="70">
        <f t="shared" si="45"/>
        <v>175.12844036697246</v>
      </c>
      <c r="AA78" s="70">
        <f t="shared" si="45"/>
        <v>171.58651685393255</v>
      </c>
      <c r="AB78" s="68"/>
      <c r="AC78" s="70">
        <f t="shared" ref="AC78:AC94" si="52">(Q78-(U78+Y78))</f>
        <v>2.4509605662287868</v>
      </c>
      <c r="AD78" s="70">
        <f t="shared" si="46"/>
        <v>2.2238532110091001</v>
      </c>
      <c r="AE78" s="70">
        <f t="shared" si="46"/>
        <v>2.1788764044940763</v>
      </c>
    </row>
    <row r="79" spans="2:31" x14ac:dyDescent="0.25">
      <c r="C79" s="27" t="s">
        <v>31</v>
      </c>
      <c r="D79">
        <f t="shared" si="47"/>
        <v>4.95</v>
      </c>
      <c r="E79">
        <f t="shared" si="47"/>
        <v>4.8600000000000003</v>
      </c>
      <c r="F79">
        <f t="shared" si="47"/>
        <v>4.6500000000000004</v>
      </c>
      <c r="K79" s="27" t="s">
        <v>31</v>
      </c>
      <c r="L79" s="47">
        <f t="shared" si="48"/>
        <v>12050</v>
      </c>
      <c r="M79" s="47">
        <f t="shared" si="48"/>
        <v>12050</v>
      </c>
      <c r="N79" s="47">
        <f t="shared" si="48"/>
        <v>12050</v>
      </c>
      <c r="Q79" s="48">
        <f t="shared" si="49"/>
        <v>2434.3434343434342</v>
      </c>
      <c r="R79" s="48">
        <f t="shared" si="43"/>
        <v>2479.4238683127569</v>
      </c>
      <c r="S79" s="48">
        <f t="shared" si="43"/>
        <v>2591.3978494623652</v>
      </c>
      <c r="U79" s="69">
        <f t="shared" si="50"/>
        <v>2279.0323232323231</v>
      </c>
      <c r="V79" s="69">
        <f t="shared" si="44"/>
        <v>2321.2366255144029</v>
      </c>
      <c r="W79" s="69">
        <f t="shared" si="44"/>
        <v>2426.0666666666666</v>
      </c>
      <c r="X79" s="68"/>
      <c r="Y79" s="70">
        <f t="shared" si="51"/>
        <v>153.36363636363635</v>
      </c>
      <c r="Z79" s="70">
        <f t="shared" si="45"/>
        <v>156.2037037037037</v>
      </c>
      <c r="AA79" s="70">
        <f t="shared" si="45"/>
        <v>163.258064516129</v>
      </c>
      <c r="AB79" s="68"/>
      <c r="AC79" s="70">
        <f t="shared" si="52"/>
        <v>1.9474747474746437</v>
      </c>
      <c r="AD79" s="70">
        <f t="shared" si="46"/>
        <v>1.9835390946500411</v>
      </c>
      <c r="AE79" s="70">
        <f t="shared" si="46"/>
        <v>2.073118279569826</v>
      </c>
    </row>
    <row r="80" spans="2:31" x14ac:dyDescent="0.25">
      <c r="C80" s="27" t="s">
        <v>34</v>
      </c>
      <c r="D80">
        <f t="shared" si="47"/>
        <v>3.96</v>
      </c>
      <c r="E80">
        <f t="shared" si="47"/>
        <v>3.8899999999999997</v>
      </c>
      <c r="F80">
        <f t="shared" si="47"/>
        <v>3.6799999999999997</v>
      </c>
      <c r="K80" s="27" t="s">
        <v>34</v>
      </c>
      <c r="L80" s="47">
        <f t="shared" si="48"/>
        <v>11880</v>
      </c>
      <c r="M80" s="47">
        <f t="shared" si="48"/>
        <v>11880</v>
      </c>
      <c r="N80" s="47">
        <f t="shared" si="48"/>
        <v>11880</v>
      </c>
      <c r="Q80" s="48">
        <f t="shared" si="49"/>
        <v>3000</v>
      </c>
      <c r="R80" s="48">
        <f t="shared" si="43"/>
        <v>3053.9845758354759</v>
      </c>
      <c r="S80" s="48">
        <f t="shared" si="43"/>
        <v>3228.2608695652175</v>
      </c>
      <c r="U80" s="69">
        <f t="shared" si="50"/>
        <v>2808.6</v>
      </c>
      <c r="V80" s="69">
        <f t="shared" si="44"/>
        <v>2859.1403598971729</v>
      </c>
      <c r="W80" s="69">
        <f t="shared" si="44"/>
        <v>3022.2978260869568</v>
      </c>
      <c r="X80" s="68"/>
      <c r="Y80" s="70">
        <f t="shared" si="51"/>
        <v>189</v>
      </c>
      <c r="Z80" s="70">
        <f t="shared" si="45"/>
        <v>192.40102827763496</v>
      </c>
      <c r="AA80" s="70">
        <f t="shared" si="45"/>
        <v>203.38043478260869</v>
      </c>
      <c r="AB80" s="68"/>
      <c r="AC80" s="70">
        <f t="shared" si="52"/>
        <v>2.4000000000000909</v>
      </c>
      <c r="AD80" s="70">
        <f t="shared" si="46"/>
        <v>2.4431876606681726</v>
      </c>
      <c r="AE80" s="70">
        <f t="shared" si="46"/>
        <v>2.5826086956521976</v>
      </c>
    </row>
    <row r="81" spans="3:47" x14ac:dyDescent="0.25">
      <c r="C81" s="27" t="s">
        <v>38</v>
      </c>
      <c r="D81">
        <f t="shared" si="47"/>
        <v>4.6500000000000004</v>
      </c>
      <c r="E81">
        <f t="shared" si="47"/>
        <v>4.8899999999999997</v>
      </c>
      <c r="F81">
        <f t="shared" si="47"/>
        <v>4.5600000000000005</v>
      </c>
      <c r="K81" s="27" t="s">
        <v>38</v>
      </c>
      <c r="L81" s="47">
        <f t="shared" si="48"/>
        <v>11680</v>
      </c>
      <c r="M81" s="47">
        <f t="shared" si="48"/>
        <v>11680</v>
      </c>
      <c r="N81" s="47">
        <f t="shared" si="48"/>
        <v>11680</v>
      </c>
      <c r="Q81" s="48">
        <f t="shared" si="49"/>
        <v>2511.827956989247</v>
      </c>
      <c r="R81" s="48">
        <f t="shared" si="43"/>
        <v>2388.5480572597139</v>
      </c>
      <c r="S81" s="48">
        <f t="shared" si="43"/>
        <v>2561.4035087719294</v>
      </c>
      <c r="U81" s="69">
        <f t="shared" si="50"/>
        <v>2351.5733333333333</v>
      </c>
      <c r="V81" s="69">
        <f t="shared" si="44"/>
        <v>2236.1586912065441</v>
      </c>
      <c r="W81" s="69">
        <f t="shared" si="44"/>
        <v>2397.9859649122805</v>
      </c>
      <c r="X81" s="68"/>
      <c r="Y81" s="70">
        <f t="shared" si="51"/>
        <v>158.24516129032256</v>
      </c>
      <c r="Z81" s="70">
        <f t="shared" si="45"/>
        <v>150.47852760736197</v>
      </c>
      <c r="AA81" s="70">
        <f t="shared" si="45"/>
        <v>161.36842105263156</v>
      </c>
      <c r="AB81" s="68"/>
      <c r="AC81" s="70">
        <f t="shared" si="52"/>
        <v>2.0094623655913892</v>
      </c>
      <c r="AD81" s="70">
        <f t="shared" si="46"/>
        <v>1.9108384458077126</v>
      </c>
      <c r="AE81" s="70">
        <f t="shared" si="46"/>
        <v>2.0491228070172838</v>
      </c>
    </row>
    <row r="82" spans="3:47" x14ac:dyDescent="0.25">
      <c r="C82" s="27" t="s">
        <v>40</v>
      </c>
      <c r="D82">
        <f t="shared" si="47"/>
        <v>5.26</v>
      </c>
      <c r="E82">
        <f t="shared" si="47"/>
        <v>5.08</v>
      </c>
      <c r="F82">
        <f t="shared" si="47"/>
        <v>4.8899999999999997</v>
      </c>
      <c r="K82" s="27" t="s">
        <v>40</v>
      </c>
      <c r="L82" s="47">
        <f t="shared" si="48"/>
        <v>10840</v>
      </c>
      <c r="M82" s="47">
        <f t="shared" si="48"/>
        <v>10840</v>
      </c>
      <c r="N82" s="47">
        <f t="shared" si="48"/>
        <v>10840</v>
      </c>
      <c r="Q82" s="48">
        <f t="shared" si="49"/>
        <v>2060.8365019011408</v>
      </c>
      <c r="R82" s="48">
        <f t="shared" si="43"/>
        <v>2133.8582677165355</v>
      </c>
      <c r="S82" s="48">
        <f t="shared" si="43"/>
        <v>2216.7689161554194</v>
      </c>
      <c r="U82" s="69">
        <f t="shared" si="50"/>
        <v>1929.355133079848</v>
      </c>
      <c r="V82" s="69">
        <f t="shared" si="44"/>
        <v>1997.7181102362206</v>
      </c>
      <c r="W82" s="69">
        <f t="shared" si="44"/>
        <v>2075.3390593047038</v>
      </c>
      <c r="X82" s="68"/>
      <c r="Y82" s="70">
        <f t="shared" si="51"/>
        <v>129.83269961977186</v>
      </c>
      <c r="Z82" s="70">
        <f t="shared" si="45"/>
        <v>134.43307086614175</v>
      </c>
      <c r="AA82" s="70">
        <f t="shared" si="45"/>
        <v>139.65644171779141</v>
      </c>
      <c r="AB82" s="68"/>
      <c r="AC82" s="70">
        <f t="shared" si="52"/>
        <v>1.6486692015209883</v>
      </c>
      <c r="AD82" s="70">
        <f t="shared" si="46"/>
        <v>1.7070866141730221</v>
      </c>
      <c r="AE82" s="70">
        <f t="shared" si="46"/>
        <v>1.7734151329241286</v>
      </c>
    </row>
    <row r="83" spans="3:47" x14ac:dyDescent="0.25">
      <c r="C83" s="27" t="s">
        <v>42</v>
      </c>
      <c r="D83">
        <f t="shared" si="47"/>
        <v>3.9799999999999995</v>
      </c>
      <c r="E83">
        <f t="shared" si="47"/>
        <v>3.94</v>
      </c>
      <c r="F83">
        <f t="shared" si="47"/>
        <v>4.08</v>
      </c>
      <c r="K83" s="27" t="s">
        <v>42</v>
      </c>
      <c r="L83" s="47">
        <f t="shared" si="48"/>
        <v>11379.999999999998</v>
      </c>
      <c r="M83" s="47">
        <f t="shared" si="48"/>
        <v>11379.999999999998</v>
      </c>
      <c r="N83" s="47">
        <f t="shared" si="48"/>
        <v>11379.999999999998</v>
      </c>
      <c r="Q83" s="48">
        <f t="shared" si="49"/>
        <v>2859.29648241206</v>
      </c>
      <c r="R83" s="48">
        <f t="shared" si="43"/>
        <v>2888.3248730964465</v>
      </c>
      <c r="S83" s="48">
        <f t="shared" si="43"/>
        <v>2789.2156862745092</v>
      </c>
      <c r="U83" s="69">
        <f t="shared" si="50"/>
        <v>2676.8733668341711</v>
      </c>
      <c r="V83" s="69">
        <f t="shared" si="44"/>
        <v>2704.0497461928935</v>
      </c>
      <c r="W83" s="69">
        <f t="shared" si="44"/>
        <v>2611.2637254901956</v>
      </c>
      <c r="X83" s="68"/>
      <c r="Y83" s="70">
        <f t="shared" si="51"/>
        <v>180.13567839195977</v>
      </c>
      <c r="Z83" s="70">
        <f t="shared" si="45"/>
        <v>181.9644670050761</v>
      </c>
      <c r="AA83" s="70">
        <f t="shared" si="45"/>
        <v>175.72058823529409</v>
      </c>
      <c r="AB83" s="68"/>
      <c r="AC83" s="70">
        <f t="shared" si="52"/>
        <v>2.2874371859293205</v>
      </c>
      <c r="AD83" s="70">
        <f t="shared" si="46"/>
        <v>2.3106598984768425</v>
      </c>
      <c r="AE83" s="70">
        <f t="shared" si="46"/>
        <v>2.2313725490193974</v>
      </c>
    </row>
    <row r="84" spans="3:47" x14ac:dyDescent="0.25">
      <c r="C84" s="27" t="s">
        <v>44</v>
      </c>
      <c r="D84">
        <f t="shared" si="47"/>
        <v>4.46</v>
      </c>
      <c r="E84">
        <f t="shared" si="47"/>
        <v>4.38</v>
      </c>
      <c r="F84">
        <f t="shared" si="47"/>
        <v>4.2799999999999994</v>
      </c>
      <c r="K84" s="27" t="s">
        <v>44</v>
      </c>
      <c r="L84" s="47">
        <f t="shared" si="48"/>
        <v>11180.000000000002</v>
      </c>
      <c r="M84" s="47">
        <f t="shared" si="48"/>
        <v>11180.000000000002</v>
      </c>
      <c r="N84" s="47">
        <f t="shared" si="48"/>
        <v>11180.000000000002</v>
      </c>
      <c r="Q84" s="48">
        <f t="shared" si="49"/>
        <v>2506.7264573991038</v>
      </c>
      <c r="R84" s="48">
        <f t="shared" si="43"/>
        <v>2552.5114155251144</v>
      </c>
      <c r="S84" s="48">
        <f t="shared" si="43"/>
        <v>2612.1495327102812</v>
      </c>
      <c r="U84" s="69">
        <f t="shared" si="50"/>
        <v>2346.7973094170411</v>
      </c>
      <c r="V84" s="69">
        <f t="shared" si="44"/>
        <v>2389.6611872146123</v>
      </c>
      <c r="W84" s="69">
        <f t="shared" si="44"/>
        <v>2445.4943925233656</v>
      </c>
      <c r="X84" s="68"/>
      <c r="Y84" s="70">
        <f t="shared" si="51"/>
        <v>157.92376681614351</v>
      </c>
      <c r="Z84" s="70">
        <f t="shared" si="45"/>
        <v>160.8082191780822</v>
      </c>
      <c r="AA84" s="70">
        <f t="shared" si="45"/>
        <v>164.5654205607477</v>
      </c>
      <c r="AB84" s="68"/>
      <c r="AC84" s="70">
        <f t="shared" si="52"/>
        <v>2.0053811659190615</v>
      </c>
      <c r="AD84" s="70">
        <f t="shared" si="46"/>
        <v>2.0420091324199348</v>
      </c>
      <c r="AE84" s="70">
        <f t="shared" si="46"/>
        <v>2.089719626168062</v>
      </c>
    </row>
    <row r="85" spans="3:47" x14ac:dyDescent="0.25">
      <c r="C85" s="27" t="s">
        <v>46</v>
      </c>
      <c r="D85">
        <f t="shared" si="47"/>
        <v>3.95</v>
      </c>
      <c r="E85">
        <f t="shared" si="47"/>
        <v>3.6799999999999997</v>
      </c>
      <c r="F85">
        <f t="shared" si="47"/>
        <v>3.45</v>
      </c>
      <c r="K85" s="27" t="s">
        <v>46</v>
      </c>
      <c r="L85" s="47">
        <f t="shared" si="48"/>
        <v>10760</v>
      </c>
      <c r="M85" s="47">
        <f t="shared" si="48"/>
        <v>10760</v>
      </c>
      <c r="N85" s="47">
        <f t="shared" si="48"/>
        <v>10760</v>
      </c>
      <c r="Q85" s="48">
        <f t="shared" si="49"/>
        <v>2724.0506329113923</v>
      </c>
      <c r="R85" s="48">
        <f t="shared" si="43"/>
        <v>2923.913043478261</v>
      </c>
      <c r="S85" s="48">
        <f t="shared" si="43"/>
        <v>3118.840579710145</v>
      </c>
      <c r="U85" s="69">
        <f t="shared" si="50"/>
        <v>2550.2562025316456</v>
      </c>
      <c r="V85" s="69">
        <f t="shared" si="44"/>
        <v>2737.3673913043481</v>
      </c>
      <c r="W85" s="69">
        <f t="shared" si="44"/>
        <v>2919.858550724638</v>
      </c>
      <c r="X85" s="68"/>
      <c r="Y85" s="70">
        <f t="shared" si="51"/>
        <v>171.61518987341771</v>
      </c>
      <c r="Z85" s="70">
        <f t="shared" si="45"/>
        <v>184.20652173913044</v>
      </c>
      <c r="AA85" s="70">
        <f t="shared" si="45"/>
        <v>196.48695652173913</v>
      </c>
      <c r="AB85" s="68"/>
      <c r="AC85" s="70">
        <f t="shared" si="52"/>
        <v>2.1792405063288243</v>
      </c>
      <c r="AD85" s="70">
        <f t="shared" si="46"/>
        <v>2.3391304347824189</v>
      </c>
      <c r="AE85" s="70">
        <f t="shared" si="46"/>
        <v>2.4950724637678832</v>
      </c>
    </row>
    <row r="86" spans="3:47" x14ac:dyDescent="0.25">
      <c r="C86" s="27" t="s">
        <v>48</v>
      </c>
      <c r="D86">
        <f t="shared" si="47"/>
        <v>2.0100000000000002</v>
      </c>
      <c r="E86">
        <f t="shared" si="47"/>
        <v>2.2600000000000002</v>
      </c>
      <c r="F86">
        <f t="shared" si="47"/>
        <v>2.65</v>
      </c>
      <c r="K86" s="27" t="s">
        <v>48</v>
      </c>
      <c r="L86" s="47">
        <f t="shared" si="48"/>
        <v>11000</v>
      </c>
      <c r="M86" s="47">
        <f t="shared" si="48"/>
        <v>11000</v>
      </c>
      <c r="N86" s="47">
        <f t="shared" si="48"/>
        <v>11000</v>
      </c>
      <c r="Q86" s="48">
        <f t="shared" si="49"/>
        <v>5472.6368159203976</v>
      </c>
      <c r="R86" s="48">
        <f t="shared" si="43"/>
        <v>4867.2566371681414</v>
      </c>
      <c r="S86" s="48">
        <f t="shared" si="43"/>
        <v>4150.9433962264156</v>
      </c>
      <c r="U86" s="69">
        <f t="shared" si="50"/>
        <v>5123.4825870646764</v>
      </c>
      <c r="V86" s="69">
        <f t="shared" si="44"/>
        <v>4556.7256637168139</v>
      </c>
      <c r="W86" s="69">
        <f t="shared" si="44"/>
        <v>3886.1132075471705</v>
      </c>
      <c r="X86" s="68"/>
      <c r="Y86" s="70">
        <f t="shared" si="51"/>
        <v>344.77611940298505</v>
      </c>
      <c r="Z86" s="70">
        <f t="shared" si="45"/>
        <v>306.63716814159289</v>
      </c>
      <c r="AA86" s="70">
        <f t="shared" si="45"/>
        <v>261.50943396226421</v>
      </c>
      <c r="AB86" s="68"/>
      <c r="AC86" s="70">
        <f t="shared" si="52"/>
        <v>4.3781094527357709</v>
      </c>
      <c r="AD86" s="70">
        <f t="shared" si="46"/>
        <v>3.8938053097344891</v>
      </c>
      <c r="AE86" s="70">
        <f t="shared" si="46"/>
        <v>3.3207547169804457</v>
      </c>
    </row>
    <row r="87" spans="3:47" x14ac:dyDescent="0.25">
      <c r="C87" s="27" t="s">
        <v>49</v>
      </c>
      <c r="D87">
        <f t="shared" si="47"/>
        <v>3.9799999999999995</v>
      </c>
      <c r="E87">
        <f t="shared" si="47"/>
        <v>3.5100000000000002</v>
      </c>
      <c r="F87">
        <f t="shared" si="47"/>
        <v>3.95</v>
      </c>
      <c r="K87" s="27" t="s">
        <v>49</v>
      </c>
      <c r="L87" s="47">
        <f t="shared" si="48"/>
        <v>10650</v>
      </c>
      <c r="M87" s="47">
        <f t="shared" si="48"/>
        <v>10650</v>
      </c>
      <c r="N87" s="47">
        <f t="shared" si="48"/>
        <v>10650</v>
      </c>
      <c r="Q87" s="48">
        <f t="shared" si="49"/>
        <v>2675.8793969849248</v>
      </c>
      <c r="R87" s="48">
        <f t="shared" si="43"/>
        <v>3034.1880341880342</v>
      </c>
      <c r="S87" s="48">
        <f t="shared" si="43"/>
        <v>2696.2025316455697</v>
      </c>
      <c r="U87" s="69">
        <f t="shared" si="50"/>
        <v>2505.1582914572869</v>
      </c>
      <c r="V87" s="69">
        <f t="shared" si="44"/>
        <v>2840.6068376068374</v>
      </c>
      <c r="W87" s="69">
        <f t="shared" si="44"/>
        <v>2524.1848101265823</v>
      </c>
      <c r="X87" s="68"/>
      <c r="Y87" s="70">
        <f t="shared" si="51"/>
        <v>168.58040201005028</v>
      </c>
      <c r="Z87" s="70">
        <f t="shared" si="45"/>
        <v>191.15384615384613</v>
      </c>
      <c r="AA87" s="70">
        <f t="shared" si="45"/>
        <v>169.86075949367088</v>
      </c>
      <c r="AB87" s="68"/>
      <c r="AC87" s="70">
        <f t="shared" si="52"/>
        <v>2.1407035175875535</v>
      </c>
      <c r="AD87" s="70">
        <f t="shared" si="46"/>
        <v>2.427350427350575</v>
      </c>
      <c r="AE87" s="70">
        <f t="shared" si="46"/>
        <v>2.1569620253167159</v>
      </c>
    </row>
    <row r="88" spans="3:47" x14ac:dyDescent="0.25">
      <c r="C88" s="27" t="s">
        <v>50</v>
      </c>
      <c r="D88" s="67">
        <f t="shared" si="47"/>
        <v>4.8950000000000005</v>
      </c>
      <c r="E88">
        <f t="shared" si="47"/>
        <v>4.95</v>
      </c>
      <c r="F88">
        <f t="shared" si="47"/>
        <v>4.45</v>
      </c>
      <c r="K88" s="27" t="s">
        <v>50</v>
      </c>
      <c r="L88" s="47">
        <f t="shared" si="48"/>
        <v>10180</v>
      </c>
      <c r="M88" s="47">
        <f t="shared" si="48"/>
        <v>10180</v>
      </c>
      <c r="N88" s="47">
        <f t="shared" si="48"/>
        <v>10180</v>
      </c>
      <c r="Q88" s="48">
        <f t="shared" si="49"/>
        <v>2079.6731358529109</v>
      </c>
      <c r="R88" s="48">
        <f t="shared" si="43"/>
        <v>2056.5656565656564</v>
      </c>
      <c r="S88" s="48">
        <f t="shared" si="43"/>
        <v>2287.6404494382023</v>
      </c>
      <c r="U88" s="69">
        <f t="shared" si="50"/>
        <v>1946.9899897854953</v>
      </c>
      <c r="V88" s="69">
        <f t="shared" si="44"/>
        <v>1925.3567676767675</v>
      </c>
      <c r="W88" s="69">
        <f t="shared" si="44"/>
        <v>2141.688988764045</v>
      </c>
      <c r="X88" s="68"/>
      <c r="Y88" s="70">
        <f t="shared" si="51"/>
        <v>131.01940755873338</v>
      </c>
      <c r="Z88" s="70">
        <f t="shared" si="45"/>
        <v>129.56363636363633</v>
      </c>
      <c r="AA88" s="70">
        <f t="shared" si="45"/>
        <v>144.12134831460673</v>
      </c>
      <c r="AB88" s="68"/>
      <c r="AC88" s="70">
        <f t="shared" si="52"/>
        <v>1.6637385086823997</v>
      </c>
      <c r="AD88" s="70">
        <f t="shared" si="46"/>
        <v>1.6452525252525447</v>
      </c>
      <c r="AE88" s="70">
        <f t="shared" si="46"/>
        <v>1.8301123595506397</v>
      </c>
    </row>
    <row r="89" spans="3:47" x14ac:dyDescent="0.25">
      <c r="C89" s="27" t="s">
        <v>52</v>
      </c>
      <c r="D89">
        <f t="shared" si="47"/>
        <v>3.84</v>
      </c>
      <c r="E89">
        <f t="shared" si="47"/>
        <v>3.78</v>
      </c>
      <c r="F89">
        <f t="shared" si="47"/>
        <v>3.54</v>
      </c>
      <c r="K89" s="27" t="s">
        <v>52</v>
      </c>
      <c r="L89" s="47">
        <f t="shared" si="48"/>
        <v>9990</v>
      </c>
      <c r="M89" s="47">
        <f t="shared" si="48"/>
        <v>9990</v>
      </c>
      <c r="N89" s="47">
        <f t="shared" si="48"/>
        <v>9990</v>
      </c>
      <c r="Q89" s="48">
        <f t="shared" si="49"/>
        <v>2601.5625</v>
      </c>
      <c r="R89" s="48">
        <f t="shared" si="43"/>
        <v>2642.8571428571431</v>
      </c>
      <c r="S89" s="48">
        <f t="shared" si="43"/>
        <v>2822.0338983050847</v>
      </c>
      <c r="U89" s="69">
        <f t="shared" si="50"/>
        <v>2435.5828124999998</v>
      </c>
      <c r="V89" s="69">
        <f t="shared" si="44"/>
        <v>2474.2428571428572</v>
      </c>
      <c r="W89" s="69">
        <f t="shared" si="44"/>
        <v>2641.9881355932202</v>
      </c>
      <c r="X89" s="68"/>
      <c r="Y89" s="70">
        <f t="shared" si="51"/>
        <v>163.8984375</v>
      </c>
      <c r="Z89" s="70">
        <f t="shared" si="45"/>
        <v>166.5</v>
      </c>
      <c r="AA89" s="70">
        <f t="shared" si="45"/>
        <v>177.78813559322032</v>
      </c>
      <c r="AB89" s="68"/>
      <c r="AC89" s="70">
        <f t="shared" si="52"/>
        <v>2.0812500000001819</v>
      </c>
      <c r="AD89" s="70">
        <f t="shared" si="46"/>
        <v>2.1142857142858702</v>
      </c>
      <c r="AE89" s="70">
        <f t="shared" si="46"/>
        <v>2.2576271186439953</v>
      </c>
    </row>
    <row r="90" spans="3:47" x14ac:dyDescent="0.25">
      <c r="C90" s="27" t="s">
        <v>53</v>
      </c>
      <c r="D90">
        <f t="shared" si="47"/>
        <v>3.75</v>
      </c>
      <c r="E90">
        <f t="shared" si="47"/>
        <v>4.75</v>
      </c>
      <c r="F90">
        <f t="shared" si="47"/>
        <v>4.3499999999999996</v>
      </c>
      <c r="K90" s="27" t="s">
        <v>53</v>
      </c>
      <c r="L90" s="47">
        <f t="shared" si="48"/>
        <v>9680</v>
      </c>
      <c r="M90" s="47">
        <f t="shared" si="48"/>
        <v>9680</v>
      </c>
      <c r="N90" s="47">
        <f t="shared" si="48"/>
        <v>9680</v>
      </c>
      <c r="Q90" s="48">
        <f t="shared" si="49"/>
        <v>2581.3333333333335</v>
      </c>
      <c r="R90" s="48">
        <f t="shared" si="43"/>
        <v>2037.8947368421052</v>
      </c>
      <c r="S90" s="48">
        <f t="shared" si="43"/>
        <v>2225.2873563218391</v>
      </c>
      <c r="U90" s="69">
        <f t="shared" si="50"/>
        <v>2416.6442666666671</v>
      </c>
      <c r="V90" s="69">
        <f t="shared" si="44"/>
        <v>1907.8770526315791</v>
      </c>
      <c r="W90" s="69">
        <f t="shared" si="44"/>
        <v>2083.3140229885057</v>
      </c>
      <c r="X90" s="68"/>
      <c r="Y90" s="70">
        <f t="shared" si="51"/>
        <v>162.624</v>
      </c>
      <c r="Z90" s="70">
        <f t="shared" si="45"/>
        <v>128.38736842105263</v>
      </c>
      <c r="AA90" s="70">
        <f t="shared" si="45"/>
        <v>140.19310344827585</v>
      </c>
      <c r="AB90" s="68"/>
      <c r="AC90" s="70">
        <f t="shared" si="52"/>
        <v>2.0650666666665529</v>
      </c>
      <c r="AD90" s="70">
        <f t="shared" si="46"/>
        <v>1.6303157894735705</v>
      </c>
      <c r="AE90" s="70">
        <f t="shared" si="46"/>
        <v>1.7802298850574516</v>
      </c>
    </row>
    <row r="91" spans="3:47" x14ac:dyDescent="0.25">
      <c r="C91" s="27" t="s">
        <v>55</v>
      </c>
      <c r="D91">
        <f t="shared" si="47"/>
        <v>4.75</v>
      </c>
      <c r="E91">
        <f t="shared" si="47"/>
        <v>5.35</v>
      </c>
      <c r="F91">
        <f t="shared" si="47"/>
        <v>4.7799999999999994</v>
      </c>
      <c r="K91" s="27" t="s">
        <v>55</v>
      </c>
      <c r="L91" s="47">
        <f t="shared" si="48"/>
        <v>8560</v>
      </c>
      <c r="M91" s="47">
        <f t="shared" si="48"/>
        <v>8560</v>
      </c>
      <c r="N91" s="47">
        <f t="shared" si="48"/>
        <v>8560</v>
      </c>
      <c r="Q91" s="48">
        <f t="shared" si="49"/>
        <v>1802.1052631578948</v>
      </c>
      <c r="R91" s="48">
        <f t="shared" si="43"/>
        <v>1600</v>
      </c>
      <c r="S91" s="48">
        <f t="shared" si="43"/>
        <v>1790.794979079498</v>
      </c>
      <c r="U91" s="69">
        <f t="shared" si="50"/>
        <v>1687.1309473684212</v>
      </c>
      <c r="V91" s="69">
        <f t="shared" si="44"/>
        <v>1497.92</v>
      </c>
      <c r="W91" s="69">
        <f t="shared" si="44"/>
        <v>1676.5422594142262</v>
      </c>
      <c r="X91" s="68"/>
      <c r="Y91" s="70">
        <f t="shared" si="51"/>
        <v>113.53263157894736</v>
      </c>
      <c r="Z91" s="70">
        <f t="shared" si="45"/>
        <v>100.8</v>
      </c>
      <c r="AA91" s="70">
        <f t="shared" si="45"/>
        <v>112.82008368200837</v>
      </c>
      <c r="AB91" s="68"/>
      <c r="AC91" s="70">
        <f t="shared" si="52"/>
        <v>1.4416842105263186</v>
      </c>
      <c r="AD91" s="70">
        <f t="shared" si="46"/>
        <v>1.2799999999999727</v>
      </c>
      <c r="AE91" s="70">
        <f t="shared" si="46"/>
        <v>1.4326359832634807</v>
      </c>
    </row>
    <row r="92" spans="3:47" x14ac:dyDescent="0.25">
      <c r="C92" s="27" t="s">
        <v>56</v>
      </c>
      <c r="D92">
        <f t="shared" si="47"/>
        <v>4.05</v>
      </c>
      <c r="E92">
        <f t="shared" si="47"/>
        <v>3.5799999999999996</v>
      </c>
      <c r="F92">
        <f t="shared" si="47"/>
        <v>4.16</v>
      </c>
      <c r="K92" s="27" t="s">
        <v>56</v>
      </c>
      <c r="L92" s="47">
        <f t="shared" si="48"/>
        <v>9280</v>
      </c>
      <c r="M92" s="47">
        <f t="shared" si="48"/>
        <v>9280</v>
      </c>
      <c r="N92" s="47">
        <f t="shared" si="48"/>
        <v>9280</v>
      </c>
      <c r="Q92" s="48">
        <f t="shared" si="49"/>
        <v>2291.358024691358</v>
      </c>
      <c r="R92" s="48">
        <f t="shared" si="43"/>
        <v>2592.1787709497207</v>
      </c>
      <c r="S92" s="48">
        <f t="shared" si="43"/>
        <v>2230.7692307692305</v>
      </c>
      <c r="U92" s="69">
        <f t="shared" si="50"/>
        <v>2145.1693827160493</v>
      </c>
      <c r="V92" s="69">
        <f t="shared" si="44"/>
        <v>2426.7977653631287</v>
      </c>
      <c r="W92" s="69">
        <f t="shared" si="44"/>
        <v>2088.4461538461537</v>
      </c>
      <c r="X92" s="68"/>
      <c r="Y92" s="70">
        <f t="shared" si="51"/>
        <v>144.35555555555555</v>
      </c>
      <c r="Z92" s="70">
        <f t="shared" si="45"/>
        <v>163.3072625698324</v>
      </c>
      <c r="AA92" s="70">
        <f t="shared" si="45"/>
        <v>140.53846153846152</v>
      </c>
      <c r="AB92" s="68"/>
      <c r="AC92" s="70">
        <f t="shared" si="52"/>
        <v>1.8330864197532719</v>
      </c>
      <c r="AD92" s="70">
        <f t="shared" si="46"/>
        <v>2.0737430167596358</v>
      </c>
      <c r="AE92" s="70">
        <f t="shared" si="46"/>
        <v>1.7846153846153356</v>
      </c>
    </row>
    <row r="93" spans="3:47" x14ac:dyDescent="0.25">
      <c r="C93" s="27" t="s">
        <v>57</v>
      </c>
      <c r="D93">
        <f t="shared" si="47"/>
        <v>4.1500000000000004</v>
      </c>
      <c r="E93">
        <f t="shared" si="47"/>
        <v>4.26</v>
      </c>
      <c r="F93">
        <f t="shared" si="47"/>
        <v>4.5299999999999994</v>
      </c>
      <c r="K93" s="27" t="s">
        <v>57</v>
      </c>
      <c r="L93" s="47">
        <f t="shared" si="48"/>
        <v>8840</v>
      </c>
      <c r="M93" s="47">
        <f t="shared" si="48"/>
        <v>8840</v>
      </c>
      <c r="N93" s="47">
        <f t="shared" si="48"/>
        <v>8840</v>
      </c>
      <c r="Q93" s="48">
        <f t="shared" si="49"/>
        <v>2130.1204819277104</v>
      </c>
      <c r="R93" s="48">
        <f t="shared" si="43"/>
        <v>2075.1173708920187</v>
      </c>
      <c r="S93" s="48">
        <f t="shared" si="43"/>
        <v>1951.4348785871966</v>
      </c>
      <c r="U93" s="69">
        <f t="shared" si="50"/>
        <v>1994.2187951807227</v>
      </c>
      <c r="V93" s="69">
        <f t="shared" si="44"/>
        <v>1942.7248826291079</v>
      </c>
      <c r="W93" s="69">
        <f t="shared" si="44"/>
        <v>1826.9333333333336</v>
      </c>
      <c r="X93" s="68"/>
      <c r="Y93" s="70">
        <f t="shared" si="51"/>
        <v>134.19759036144575</v>
      </c>
      <c r="Z93" s="70">
        <f t="shared" si="45"/>
        <v>130.73239436619716</v>
      </c>
      <c r="AA93" s="70">
        <f t="shared" si="45"/>
        <v>122.94039735099339</v>
      </c>
      <c r="AB93" s="68"/>
      <c r="AC93" s="70">
        <f t="shared" si="52"/>
        <v>1.7040963855420159</v>
      </c>
      <c r="AD93" s="70">
        <f t="shared" si="46"/>
        <v>1.6600938967135335</v>
      </c>
      <c r="AE93" s="70">
        <f t="shared" si="46"/>
        <v>1.5611479028696067</v>
      </c>
    </row>
    <row r="94" spans="3:47" x14ac:dyDescent="0.25">
      <c r="C94" s="27" t="s">
        <v>58</v>
      </c>
      <c r="D94">
        <f t="shared" ref="D94:F94" si="53">D74/10</f>
        <v>3.56</v>
      </c>
      <c r="E94">
        <f t="shared" si="53"/>
        <v>3.8600000000000003</v>
      </c>
      <c r="F94">
        <f t="shared" si="53"/>
        <v>3.45</v>
      </c>
      <c r="K94" s="27" t="s">
        <v>58</v>
      </c>
      <c r="L94" s="47">
        <f t="shared" ref="L94:N94" si="54">(L74/1000)*10000</f>
        <v>8370</v>
      </c>
      <c r="M94" s="47">
        <f t="shared" si="54"/>
        <v>8370</v>
      </c>
      <c r="N94" s="47">
        <f t="shared" si="54"/>
        <v>8370</v>
      </c>
      <c r="Q94" s="48">
        <f t="shared" si="49"/>
        <v>2351.1235955056181</v>
      </c>
      <c r="R94" s="48">
        <f t="shared" si="43"/>
        <v>2168.3937823834194</v>
      </c>
      <c r="S94" s="48">
        <f t="shared" si="43"/>
        <v>2426.086956521739</v>
      </c>
      <c r="U94" s="69">
        <f t="shared" si="50"/>
        <v>2201.1219101123597</v>
      </c>
      <c r="V94" s="69">
        <f t="shared" si="44"/>
        <v>2030.0502590673575</v>
      </c>
      <c r="W94" s="69">
        <f t="shared" si="44"/>
        <v>2271.302608695652</v>
      </c>
      <c r="X94" s="68"/>
      <c r="Y94" s="70">
        <f t="shared" si="51"/>
        <v>148.12078651685394</v>
      </c>
      <c r="Z94" s="70">
        <f t="shared" si="45"/>
        <v>136.60880829015542</v>
      </c>
      <c r="AA94" s="70">
        <f t="shared" si="45"/>
        <v>152.84347826086957</v>
      </c>
      <c r="AB94" s="68"/>
      <c r="AC94" s="70">
        <f t="shared" si="52"/>
        <v>1.8808988764044443</v>
      </c>
      <c r="AD94" s="70">
        <f t="shared" si="46"/>
        <v>1.7347150259065529</v>
      </c>
      <c r="AE94" s="70">
        <f t="shared" si="46"/>
        <v>1.9408695652173265</v>
      </c>
    </row>
    <row r="96" spans="3:47" x14ac:dyDescent="0.25">
      <c r="W96" s="66" t="s">
        <v>118</v>
      </c>
      <c r="AA96" s="35" t="s">
        <v>119</v>
      </c>
      <c r="AE96" s="35" t="s">
        <v>120</v>
      </c>
      <c r="AI96" s="35" t="s">
        <v>121</v>
      </c>
      <c r="AM96" s="49" t="s">
        <v>75</v>
      </c>
      <c r="AN96" s="49"/>
      <c r="AP96" s="49"/>
      <c r="AQ96" s="49" t="s">
        <v>76</v>
      </c>
      <c r="AR96" s="49"/>
      <c r="AS96" s="49"/>
      <c r="AT96" s="49"/>
      <c r="AU96" s="49" t="s">
        <v>77</v>
      </c>
    </row>
    <row r="97" spans="21:48" x14ac:dyDescent="0.25">
      <c r="U97" s="27" t="s">
        <v>22</v>
      </c>
      <c r="V97" s="47">
        <f>Q77/2.8</f>
        <v>1702.1563342318059</v>
      </c>
      <c r="W97" s="47">
        <f t="shared" ref="W97:X105" si="55">R77/2.8</f>
        <v>2069.1349934469199</v>
      </c>
      <c r="X97" s="47">
        <f t="shared" si="55"/>
        <v>1914.5646373999516</v>
      </c>
      <c r="Z97" s="48">
        <f>Q77-V97</f>
        <v>3063.88140161725</v>
      </c>
      <c r="AA97" s="48">
        <f t="shared" ref="AA97:AB114" si="56">R77-W97</f>
        <v>3724.4429882044551</v>
      </c>
      <c r="AB97" s="48">
        <f t="shared" si="56"/>
        <v>3446.2163473199125</v>
      </c>
      <c r="AD97" s="67">
        <f>Q77*3.1/100</f>
        <v>147.74716981132076</v>
      </c>
      <c r="AE97" s="67">
        <f t="shared" ref="AE97:AF105" si="57">R77*3.1/100</f>
        <v>179.60091743119264</v>
      </c>
      <c r="AF97" s="67">
        <f t="shared" si="57"/>
        <v>166.18421052631581</v>
      </c>
      <c r="AH97" s="48">
        <f>Z97-AD97</f>
        <v>2916.1342318059292</v>
      </c>
      <c r="AI97" s="48">
        <f t="shared" ref="AI97:AJ114" si="58">AA97-AE97</f>
        <v>3544.8420707732625</v>
      </c>
      <c r="AJ97" s="48">
        <f t="shared" si="58"/>
        <v>3280.0321367935967</v>
      </c>
      <c r="AL97" s="9">
        <f>(AH97*93)/100</f>
        <v>2712.0048355795138</v>
      </c>
      <c r="AM97" s="9">
        <f t="shared" ref="AM97:AN114" si="59">(AI97*93)/100</f>
        <v>3296.7031258191341</v>
      </c>
      <c r="AN97" s="9">
        <f t="shared" si="59"/>
        <v>3050.4298872180452</v>
      </c>
      <c r="AP97" s="8">
        <f>(AH97*6.8)/100</f>
        <v>198.29712776280317</v>
      </c>
      <c r="AQ97" s="8">
        <f t="shared" ref="AQ97:AR114" si="60">(AI97*6.8)/100</f>
        <v>241.04926081258185</v>
      </c>
      <c r="AR97" s="8">
        <f t="shared" si="60"/>
        <v>223.04218530196457</v>
      </c>
      <c r="AT97" s="8">
        <f>(AH97-(AL97+AP97))</f>
        <v>5.8322684636123086</v>
      </c>
      <c r="AU97" s="8">
        <f t="shared" ref="AU97:AV114" si="61">(AI97-(AM97+AQ97))</f>
        <v>7.0896841415465133</v>
      </c>
      <c r="AV97" s="8">
        <f t="shared" si="61"/>
        <v>6.5600642735867041</v>
      </c>
    </row>
    <row r="98" spans="21:48" x14ac:dyDescent="0.25">
      <c r="U98" s="27" t="s">
        <v>24</v>
      </c>
      <c r="V98" s="47">
        <f t="shared" ref="V98:V105" si="62">Q78/2.8</f>
        <v>1094.1788242091579</v>
      </c>
      <c r="W98" s="47">
        <f t="shared" si="55"/>
        <v>992.79161205766718</v>
      </c>
      <c r="X98" s="47">
        <f t="shared" si="55"/>
        <v>972.71268057784914</v>
      </c>
      <c r="Z98" s="48">
        <f t="shared" ref="Z98:Z114" si="63">Q78-V98</f>
        <v>1969.521883576484</v>
      </c>
      <c r="AA98" s="48">
        <f t="shared" si="56"/>
        <v>1787.0249017038007</v>
      </c>
      <c r="AB98" s="48">
        <f t="shared" si="56"/>
        <v>1750.8828250401282</v>
      </c>
      <c r="AD98" s="67">
        <f t="shared" ref="AD98:AD105" si="64">Q78*3.1/100</f>
        <v>94.974721941354915</v>
      </c>
      <c r="AE98" s="67">
        <f t="shared" si="57"/>
        <v>86.174311926605498</v>
      </c>
      <c r="AF98" s="67">
        <f t="shared" si="57"/>
        <v>84.431460674157293</v>
      </c>
      <c r="AH98" s="48">
        <f t="shared" ref="AH98:AH114" si="65">Z98-AD98</f>
        <v>1874.5471616351292</v>
      </c>
      <c r="AI98" s="48">
        <f t="shared" si="58"/>
        <v>1700.8505897771952</v>
      </c>
      <c r="AJ98" s="48">
        <f t="shared" si="58"/>
        <v>1666.4513643659709</v>
      </c>
      <c r="AL98" s="9">
        <f t="shared" ref="AL98:AL114" si="66">(AH98*93)/100</f>
        <v>1743.3288603206702</v>
      </c>
      <c r="AM98" s="9">
        <f t="shared" si="59"/>
        <v>1581.7910484927916</v>
      </c>
      <c r="AN98" s="9">
        <f t="shared" si="59"/>
        <v>1549.799768860353</v>
      </c>
      <c r="AP98" s="8">
        <f t="shared" ref="AP98:AP114" si="67">(AH98*6.8)/100</f>
        <v>127.46920699118878</v>
      </c>
      <c r="AQ98" s="8">
        <f t="shared" si="60"/>
        <v>115.65784010484927</v>
      </c>
      <c r="AR98" s="8">
        <f t="shared" si="60"/>
        <v>113.31869277688602</v>
      </c>
      <c r="AT98" s="8">
        <f t="shared" ref="AT98:AT114" si="68">(AH98-(AL98+AP98))</f>
        <v>3.7490943232703557</v>
      </c>
      <c r="AU98" s="8">
        <f t="shared" si="61"/>
        <v>3.4017011795542658</v>
      </c>
      <c r="AV98" s="8">
        <f t="shared" si="61"/>
        <v>3.332902728731824</v>
      </c>
    </row>
    <row r="99" spans="21:48" x14ac:dyDescent="0.25">
      <c r="U99" s="27" t="s">
        <v>31</v>
      </c>
      <c r="V99" s="47">
        <f t="shared" si="62"/>
        <v>869.40836940836937</v>
      </c>
      <c r="W99" s="47">
        <f t="shared" si="55"/>
        <v>885.50852439741323</v>
      </c>
      <c r="X99" s="47">
        <f t="shared" si="55"/>
        <v>925.49923195084477</v>
      </c>
      <c r="Z99" s="48">
        <f t="shared" si="63"/>
        <v>1564.9350649350649</v>
      </c>
      <c r="AA99" s="48">
        <f t="shared" si="56"/>
        <v>1593.9153439153438</v>
      </c>
      <c r="AB99" s="48">
        <f t="shared" si="56"/>
        <v>1665.8986175115206</v>
      </c>
      <c r="AD99" s="67">
        <f t="shared" si="64"/>
        <v>75.464646464646464</v>
      </c>
      <c r="AE99" s="67">
        <f t="shared" si="57"/>
        <v>76.862139917695472</v>
      </c>
      <c r="AF99" s="67">
        <f t="shared" si="57"/>
        <v>80.333333333333314</v>
      </c>
      <c r="AH99" s="48">
        <f t="shared" si="65"/>
        <v>1489.4704184704185</v>
      </c>
      <c r="AI99" s="48">
        <f t="shared" si="58"/>
        <v>1517.0532039976483</v>
      </c>
      <c r="AJ99" s="48">
        <f t="shared" si="58"/>
        <v>1585.5652841781873</v>
      </c>
      <c r="AL99" s="9">
        <f t="shared" si="66"/>
        <v>1385.2074891774892</v>
      </c>
      <c r="AM99" s="9">
        <f t="shared" si="59"/>
        <v>1410.859479717813</v>
      </c>
      <c r="AN99" s="9">
        <f t="shared" si="59"/>
        <v>1474.5757142857142</v>
      </c>
      <c r="AP99" s="8">
        <f t="shared" si="67"/>
        <v>101.28398845598845</v>
      </c>
      <c r="AQ99" s="8">
        <f t="shared" si="60"/>
        <v>103.1596178718401</v>
      </c>
      <c r="AR99" s="8">
        <f t="shared" si="60"/>
        <v>107.81843932411674</v>
      </c>
      <c r="AT99" s="8">
        <f t="shared" si="68"/>
        <v>2.9789408369408648</v>
      </c>
      <c r="AU99" s="8">
        <f t="shared" si="61"/>
        <v>3.0341064079952957</v>
      </c>
      <c r="AV99" s="8">
        <f t="shared" si="61"/>
        <v>3.1711305683563751</v>
      </c>
    </row>
    <row r="100" spans="21:48" x14ac:dyDescent="0.25">
      <c r="U100" s="27" t="s">
        <v>34</v>
      </c>
      <c r="V100" s="47">
        <f t="shared" si="62"/>
        <v>1071.4285714285716</v>
      </c>
      <c r="W100" s="47">
        <f t="shared" si="55"/>
        <v>1090.7087770840985</v>
      </c>
      <c r="X100" s="47">
        <f t="shared" si="55"/>
        <v>1152.9503105590063</v>
      </c>
      <c r="Z100" s="48">
        <f t="shared" si="63"/>
        <v>1928.5714285714284</v>
      </c>
      <c r="AA100" s="48">
        <f t="shared" si="56"/>
        <v>1963.2757987513774</v>
      </c>
      <c r="AB100" s="48">
        <f t="shared" si="56"/>
        <v>2075.3105590062114</v>
      </c>
      <c r="AD100" s="67">
        <f t="shared" si="64"/>
        <v>93</v>
      </c>
      <c r="AE100" s="67">
        <f t="shared" si="57"/>
        <v>94.67352185089976</v>
      </c>
      <c r="AF100" s="67">
        <f t="shared" si="57"/>
        <v>100.07608695652173</v>
      </c>
      <c r="AH100" s="48">
        <f t="shared" si="65"/>
        <v>1835.5714285714284</v>
      </c>
      <c r="AI100" s="48">
        <f t="shared" si="58"/>
        <v>1868.6022769004776</v>
      </c>
      <c r="AJ100" s="48">
        <f t="shared" si="58"/>
        <v>1975.2344720496897</v>
      </c>
      <c r="AL100" s="9">
        <f t="shared" si="66"/>
        <v>1707.0814285714284</v>
      </c>
      <c r="AM100" s="9">
        <f t="shared" si="59"/>
        <v>1737.8001175174443</v>
      </c>
      <c r="AN100" s="9">
        <f t="shared" si="59"/>
        <v>1836.9680590062114</v>
      </c>
      <c r="AP100" s="8">
        <f t="shared" si="67"/>
        <v>124.81885714285713</v>
      </c>
      <c r="AQ100" s="8">
        <f t="shared" si="60"/>
        <v>127.06495482923246</v>
      </c>
      <c r="AR100" s="8">
        <f t="shared" si="60"/>
        <v>134.3159440993789</v>
      </c>
      <c r="AT100" s="8">
        <f t="shared" si="68"/>
        <v>3.6711428571429678</v>
      </c>
      <c r="AU100" s="8">
        <f t="shared" si="61"/>
        <v>3.7372045538008933</v>
      </c>
      <c r="AV100" s="8">
        <f t="shared" si="61"/>
        <v>3.9504689440993843</v>
      </c>
    </row>
    <row r="101" spans="21:48" x14ac:dyDescent="0.25">
      <c r="U101" s="27" t="s">
        <v>38</v>
      </c>
      <c r="V101" s="47">
        <f t="shared" si="62"/>
        <v>897.08141321044548</v>
      </c>
      <c r="W101" s="47">
        <f t="shared" si="55"/>
        <v>853.05287759275507</v>
      </c>
      <c r="X101" s="47">
        <f t="shared" si="55"/>
        <v>914.78696741854628</v>
      </c>
      <c r="Z101" s="48">
        <f t="shared" si="63"/>
        <v>1614.7465437788014</v>
      </c>
      <c r="AA101" s="48">
        <f t="shared" si="56"/>
        <v>1535.4951796669588</v>
      </c>
      <c r="AB101" s="48">
        <f t="shared" si="56"/>
        <v>1646.6165413533831</v>
      </c>
      <c r="AD101" s="67">
        <f t="shared" si="64"/>
        <v>77.86666666666666</v>
      </c>
      <c r="AE101" s="67">
        <f t="shared" si="57"/>
        <v>74.044989775051135</v>
      </c>
      <c r="AF101" s="67">
        <f t="shared" si="57"/>
        <v>79.403508771929808</v>
      </c>
      <c r="AH101" s="48">
        <f t="shared" si="65"/>
        <v>1536.8798771121349</v>
      </c>
      <c r="AI101" s="48">
        <f t="shared" si="58"/>
        <v>1461.4501898919077</v>
      </c>
      <c r="AJ101" s="48">
        <f t="shared" si="58"/>
        <v>1567.2130325814533</v>
      </c>
      <c r="AL101" s="9">
        <f t="shared" si="66"/>
        <v>1429.2982857142854</v>
      </c>
      <c r="AM101" s="9">
        <f t="shared" si="59"/>
        <v>1359.1486765994744</v>
      </c>
      <c r="AN101" s="9">
        <f t="shared" si="59"/>
        <v>1457.5081203007514</v>
      </c>
      <c r="AP101" s="8">
        <f t="shared" si="67"/>
        <v>104.50783164362518</v>
      </c>
      <c r="AQ101" s="8">
        <f t="shared" si="60"/>
        <v>99.378612912649714</v>
      </c>
      <c r="AR101" s="8">
        <f t="shared" si="60"/>
        <v>106.57048621553882</v>
      </c>
      <c r="AT101" s="8">
        <f t="shared" si="68"/>
        <v>3.0737597542242838</v>
      </c>
      <c r="AU101" s="8">
        <f t="shared" si="61"/>
        <v>2.9229003797836413</v>
      </c>
      <c r="AV101" s="8">
        <f t="shared" si="61"/>
        <v>3.1344260651630975</v>
      </c>
    </row>
    <row r="102" spans="21:48" x14ac:dyDescent="0.25">
      <c r="U102" s="27" t="s">
        <v>40</v>
      </c>
      <c r="V102" s="47">
        <f t="shared" si="62"/>
        <v>736.01303639326466</v>
      </c>
      <c r="W102" s="47">
        <f t="shared" si="55"/>
        <v>762.09223847019132</v>
      </c>
      <c r="X102" s="47">
        <f t="shared" si="55"/>
        <v>791.70318434122123</v>
      </c>
      <c r="Z102" s="48">
        <f t="shared" si="63"/>
        <v>1324.8234655078761</v>
      </c>
      <c r="AA102" s="48">
        <f t="shared" si="56"/>
        <v>1371.7660292463443</v>
      </c>
      <c r="AB102" s="48">
        <f t="shared" si="56"/>
        <v>1425.0657318141982</v>
      </c>
      <c r="AD102" s="67">
        <f t="shared" si="64"/>
        <v>63.885931558935361</v>
      </c>
      <c r="AE102" s="67">
        <f t="shared" si="57"/>
        <v>66.149606299212607</v>
      </c>
      <c r="AF102" s="67">
        <f t="shared" si="57"/>
        <v>68.719836400817996</v>
      </c>
      <c r="AH102" s="48">
        <f t="shared" si="65"/>
        <v>1260.9375339489407</v>
      </c>
      <c r="AI102" s="48">
        <f t="shared" si="58"/>
        <v>1305.6164229471317</v>
      </c>
      <c r="AJ102" s="48">
        <f t="shared" si="58"/>
        <v>1356.3458954133803</v>
      </c>
      <c r="AL102" s="9">
        <f t="shared" si="66"/>
        <v>1172.6719065725149</v>
      </c>
      <c r="AM102" s="9">
        <f t="shared" si="59"/>
        <v>1214.2232733408325</v>
      </c>
      <c r="AN102" s="9">
        <f t="shared" si="59"/>
        <v>1261.4016827344435</v>
      </c>
      <c r="AP102" s="8">
        <f t="shared" si="67"/>
        <v>85.743752308527959</v>
      </c>
      <c r="AQ102" s="8">
        <f t="shared" si="60"/>
        <v>88.781916760404954</v>
      </c>
      <c r="AR102" s="8">
        <f t="shared" si="60"/>
        <v>92.231520888109856</v>
      </c>
      <c r="AT102" s="8">
        <f t="shared" si="68"/>
        <v>2.5218750678977813</v>
      </c>
      <c r="AU102" s="8">
        <f t="shared" si="61"/>
        <v>2.6112328458941647</v>
      </c>
      <c r="AV102" s="8">
        <f t="shared" si="61"/>
        <v>2.7126917908269661</v>
      </c>
    </row>
    <row r="103" spans="21:48" x14ac:dyDescent="0.25">
      <c r="U103" s="27" t="s">
        <v>42</v>
      </c>
      <c r="V103" s="47">
        <f t="shared" si="62"/>
        <v>1021.1773151471643</v>
      </c>
      <c r="W103" s="47">
        <f t="shared" si="55"/>
        <v>1031.5445975344453</v>
      </c>
      <c r="X103" s="47">
        <f t="shared" si="55"/>
        <v>996.14845938375333</v>
      </c>
      <c r="Z103" s="48">
        <f t="shared" si="63"/>
        <v>1838.1191672648956</v>
      </c>
      <c r="AA103" s="48">
        <f t="shared" si="56"/>
        <v>1856.7802755620012</v>
      </c>
      <c r="AB103" s="48">
        <f t="shared" si="56"/>
        <v>1793.0672268907558</v>
      </c>
      <c r="AD103" s="67">
        <f t="shared" si="64"/>
        <v>88.638190954773847</v>
      </c>
      <c r="AE103" s="67">
        <f t="shared" si="57"/>
        <v>89.53807106598984</v>
      </c>
      <c r="AF103" s="67">
        <f t="shared" si="57"/>
        <v>86.465686274509792</v>
      </c>
      <c r="AH103" s="48">
        <f t="shared" si="65"/>
        <v>1749.4809763101218</v>
      </c>
      <c r="AI103" s="48">
        <f t="shared" si="58"/>
        <v>1767.2422044960113</v>
      </c>
      <c r="AJ103" s="48">
        <f t="shared" si="58"/>
        <v>1706.601540616246</v>
      </c>
      <c r="AL103" s="9">
        <f t="shared" si="66"/>
        <v>1627.0173079684132</v>
      </c>
      <c r="AM103" s="9">
        <f t="shared" si="59"/>
        <v>1643.5352501812904</v>
      </c>
      <c r="AN103" s="9">
        <f t="shared" si="59"/>
        <v>1587.1394327731086</v>
      </c>
      <c r="AP103" s="8">
        <f t="shared" si="67"/>
        <v>118.96470638908828</v>
      </c>
      <c r="AQ103" s="8">
        <f t="shared" si="60"/>
        <v>120.17246990572876</v>
      </c>
      <c r="AR103" s="8">
        <f t="shared" si="60"/>
        <v>116.04890476190472</v>
      </c>
      <c r="AT103" s="8">
        <f t="shared" si="68"/>
        <v>3.4989619526204478</v>
      </c>
      <c r="AU103" s="8">
        <f t="shared" si="61"/>
        <v>3.5344844089920571</v>
      </c>
      <c r="AV103" s="8">
        <f t="shared" si="61"/>
        <v>3.413203081232723</v>
      </c>
    </row>
    <row r="104" spans="21:48" x14ac:dyDescent="0.25">
      <c r="U104" s="27" t="s">
        <v>44</v>
      </c>
      <c r="V104" s="47">
        <f t="shared" si="62"/>
        <v>895.25944907110852</v>
      </c>
      <c r="W104" s="47">
        <f t="shared" si="55"/>
        <v>911.61121983039811</v>
      </c>
      <c r="X104" s="47">
        <f t="shared" si="55"/>
        <v>932.91054739652907</v>
      </c>
      <c r="Z104" s="48">
        <f t="shared" si="63"/>
        <v>1611.4670083279952</v>
      </c>
      <c r="AA104" s="48">
        <f t="shared" si="56"/>
        <v>1640.9001956947163</v>
      </c>
      <c r="AB104" s="48">
        <f t="shared" si="56"/>
        <v>1679.238985313752</v>
      </c>
      <c r="AD104" s="67">
        <f t="shared" si="64"/>
        <v>77.708520179372215</v>
      </c>
      <c r="AE104" s="67">
        <f t="shared" si="57"/>
        <v>79.127853881278554</v>
      </c>
      <c r="AF104" s="67">
        <f t="shared" si="57"/>
        <v>80.97663551401871</v>
      </c>
      <c r="AH104" s="48">
        <f t="shared" si="65"/>
        <v>1533.758488148623</v>
      </c>
      <c r="AI104" s="48">
        <f t="shared" si="58"/>
        <v>1561.7723418134378</v>
      </c>
      <c r="AJ104" s="48">
        <f t="shared" si="58"/>
        <v>1598.2623497997333</v>
      </c>
      <c r="AL104" s="9">
        <f t="shared" si="66"/>
        <v>1426.3953939782193</v>
      </c>
      <c r="AM104" s="9">
        <f t="shared" si="59"/>
        <v>1452.4482778864972</v>
      </c>
      <c r="AN104" s="9">
        <f t="shared" si="59"/>
        <v>1486.383985313752</v>
      </c>
      <c r="AP104" s="8">
        <f t="shared" si="67"/>
        <v>104.29557719410636</v>
      </c>
      <c r="AQ104" s="8">
        <f t="shared" si="60"/>
        <v>106.20051924331378</v>
      </c>
      <c r="AR104" s="8">
        <f t="shared" si="60"/>
        <v>108.68183978638186</v>
      </c>
      <c r="AT104" s="8">
        <f t="shared" si="68"/>
        <v>3.0675169762973837</v>
      </c>
      <c r="AU104" s="8">
        <f t="shared" si="61"/>
        <v>3.1235446836269602</v>
      </c>
      <c r="AV104" s="8">
        <f t="shared" si="61"/>
        <v>3.1965246995994221</v>
      </c>
    </row>
    <row r="105" spans="21:48" x14ac:dyDescent="0.25">
      <c r="U105" s="27" t="s">
        <v>46</v>
      </c>
      <c r="V105" s="47">
        <f t="shared" si="62"/>
        <v>972.875226039783</v>
      </c>
      <c r="W105" s="47">
        <f t="shared" si="55"/>
        <v>1044.2546583850933</v>
      </c>
      <c r="X105" s="47">
        <f t="shared" si="55"/>
        <v>1113.8716356107661</v>
      </c>
      <c r="Z105" s="48">
        <f t="shared" si="63"/>
        <v>1751.1754068716093</v>
      </c>
      <c r="AA105" s="48">
        <f t="shared" si="56"/>
        <v>1879.6583850931677</v>
      </c>
      <c r="AB105" s="48">
        <f t="shared" si="56"/>
        <v>2004.9689440993789</v>
      </c>
      <c r="AD105" s="67">
        <f t="shared" si="64"/>
        <v>84.445569620253167</v>
      </c>
      <c r="AE105" s="67">
        <f t="shared" si="57"/>
        <v>90.641304347826093</v>
      </c>
      <c r="AF105" s="67">
        <f t="shared" si="57"/>
        <v>96.684057971014497</v>
      </c>
      <c r="AH105" s="48">
        <f t="shared" si="65"/>
        <v>1666.7298372513562</v>
      </c>
      <c r="AI105" s="48">
        <f t="shared" si="58"/>
        <v>1789.0170807453417</v>
      </c>
      <c r="AJ105" s="48">
        <f t="shared" si="58"/>
        <v>1908.2848861283644</v>
      </c>
      <c r="AL105" s="9">
        <f t="shared" si="66"/>
        <v>1550.0587486437612</v>
      </c>
      <c r="AM105" s="9">
        <f t="shared" si="59"/>
        <v>1663.785885093168</v>
      </c>
      <c r="AN105" s="9">
        <f t="shared" si="59"/>
        <v>1774.7049440993787</v>
      </c>
      <c r="AP105" s="8">
        <f t="shared" si="67"/>
        <v>113.33762893309222</v>
      </c>
      <c r="AQ105" s="8">
        <f t="shared" si="60"/>
        <v>121.65316149068323</v>
      </c>
      <c r="AR105" s="8">
        <f t="shared" si="60"/>
        <v>129.76337225672879</v>
      </c>
      <c r="AT105" s="8">
        <f t="shared" si="68"/>
        <v>3.3334596745028193</v>
      </c>
      <c r="AU105" s="8">
        <f t="shared" si="61"/>
        <v>3.5780341614904501</v>
      </c>
      <c r="AV105" s="8">
        <f t="shared" si="61"/>
        <v>3.8165697722567984</v>
      </c>
    </row>
    <row r="106" spans="21:48" x14ac:dyDescent="0.25">
      <c r="U106" s="27" t="s">
        <v>48</v>
      </c>
      <c r="V106" s="47">
        <f t="shared" ref="V106:X114" si="69">Q86/2.6</f>
        <v>2104.8603138155377</v>
      </c>
      <c r="W106" s="47">
        <f t="shared" si="69"/>
        <v>1872.0217835262081</v>
      </c>
      <c r="X106" s="47">
        <f t="shared" si="69"/>
        <v>1596.5166908563137</v>
      </c>
      <c r="Z106" s="48">
        <f t="shared" si="63"/>
        <v>3367.7765021048599</v>
      </c>
      <c r="AA106" s="48">
        <f t="shared" si="56"/>
        <v>2995.2348536419331</v>
      </c>
      <c r="AB106" s="48">
        <f t="shared" si="56"/>
        <v>2554.4267053701019</v>
      </c>
      <c r="AD106" s="67">
        <f>Q86*7.2/100</f>
        <v>394.02985074626866</v>
      </c>
      <c r="AE106" s="67">
        <f t="shared" ref="AE106:AF114" si="70">R86*7.2/100</f>
        <v>350.44247787610618</v>
      </c>
      <c r="AF106" s="67">
        <f t="shared" si="70"/>
        <v>298.8679245283019</v>
      </c>
      <c r="AH106" s="48">
        <f t="shared" si="65"/>
        <v>2973.7466513585914</v>
      </c>
      <c r="AI106" s="48">
        <f t="shared" si="58"/>
        <v>2644.7923757658268</v>
      </c>
      <c r="AJ106" s="48">
        <f t="shared" si="58"/>
        <v>2255.5587808417999</v>
      </c>
      <c r="AL106" s="9">
        <f t="shared" si="66"/>
        <v>2765.58438576349</v>
      </c>
      <c r="AM106" s="9">
        <f t="shared" si="59"/>
        <v>2459.6569094622191</v>
      </c>
      <c r="AN106" s="9">
        <f t="shared" si="59"/>
        <v>2097.6696661828742</v>
      </c>
      <c r="AP106" s="8">
        <f t="shared" si="67"/>
        <v>202.21477229238423</v>
      </c>
      <c r="AQ106" s="8">
        <f t="shared" si="60"/>
        <v>179.84588155207621</v>
      </c>
      <c r="AR106" s="8">
        <f t="shared" si="60"/>
        <v>153.3779970972424</v>
      </c>
      <c r="AT106" s="8">
        <f t="shared" si="68"/>
        <v>5.9474933027172483</v>
      </c>
      <c r="AU106" s="8">
        <f t="shared" si="61"/>
        <v>5.2895847515314927</v>
      </c>
      <c r="AV106" s="8">
        <f t="shared" si="61"/>
        <v>4.5111175616834771</v>
      </c>
    </row>
    <row r="107" spans="21:48" x14ac:dyDescent="0.25">
      <c r="U107" s="27" t="s">
        <v>49</v>
      </c>
      <c r="V107" s="47">
        <f t="shared" si="69"/>
        <v>1029.1843834557403</v>
      </c>
      <c r="W107" s="47">
        <f t="shared" si="69"/>
        <v>1166.9953977646285</v>
      </c>
      <c r="X107" s="47">
        <f t="shared" si="69"/>
        <v>1037.0009737098344</v>
      </c>
      <c r="Z107" s="48">
        <f t="shared" si="63"/>
        <v>1646.6950135291845</v>
      </c>
      <c r="AA107" s="48">
        <f t="shared" si="56"/>
        <v>1867.1926364234057</v>
      </c>
      <c r="AB107" s="48">
        <f t="shared" si="56"/>
        <v>1659.2015579357353</v>
      </c>
      <c r="AD107" s="67">
        <f t="shared" ref="AD107:AD114" si="71">Q87*7.2/100</f>
        <v>192.6633165829146</v>
      </c>
      <c r="AE107" s="67">
        <f t="shared" si="70"/>
        <v>218.46153846153848</v>
      </c>
      <c r="AF107" s="67">
        <f t="shared" si="70"/>
        <v>194.12658227848104</v>
      </c>
      <c r="AH107" s="48">
        <f t="shared" si="65"/>
        <v>1454.0316969462699</v>
      </c>
      <c r="AI107" s="48">
        <f t="shared" si="58"/>
        <v>1648.7310979618671</v>
      </c>
      <c r="AJ107" s="48">
        <f t="shared" si="58"/>
        <v>1465.0749756572543</v>
      </c>
      <c r="AL107" s="9">
        <f t="shared" si="66"/>
        <v>1352.2494781600312</v>
      </c>
      <c r="AM107" s="9">
        <f t="shared" si="59"/>
        <v>1533.3199211045364</v>
      </c>
      <c r="AN107" s="9">
        <f t="shared" si="59"/>
        <v>1362.5197273612464</v>
      </c>
      <c r="AP107" s="8">
        <f t="shared" si="67"/>
        <v>98.874155392346353</v>
      </c>
      <c r="AQ107" s="8">
        <f t="shared" si="60"/>
        <v>112.11371466140696</v>
      </c>
      <c r="AR107" s="8">
        <f t="shared" si="60"/>
        <v>99.625098344693285</v>
      </c>
      <c r="AT107" s="8">
        <f t="shared" si="68"/>
        <v>2.9080633938922347</v>
      </c>
      <c r="AU107" s="8">
        <f t="shared" si="61"/>
        <v>3.2974621959237993</v>
      </c>
      <c r="AV107" s="8">
        <f t="shared" si="61"/>
        <v>2.9301499513146609</v>
      </c>
    </row>
    <row r="108" spans="21:48" x14ac:dyDescent="0.25">
      <c r="U108" s="27" t="s">
        <v>50</v>
      </c>
      <c r="V108" s="47">
        <f t="shared" si="69"/>
        <v>799.87428302035039</v>
      </c>
      <c r="W108" s="47">
        <f t="shared" si="69"/>
        <v>790.98679098679088</v>
      </c>
      <c r="X108" s="47">
        <f t="shared" si="69"/>
        <v>879.86171132238542</v>
      </c>
      <c r="Z108" s="48">
        <f t="shared" si="63"/>
        <v>1279.7988528325604</v>
      </c>
      <c r="AA108" s="48">
        <f t="shared" si="56"/>
        <v>1265.5788655788656</v>
      </c>
      <c r="AB108" s="48">
        <f t="shared" si="56"/>
        <v>1407.7787381158169</v>
      </c>
      <c r="AD108" s="67">
        <f t="shared" si="71"/>
        <v>149.73646578140958</v>
      </c>
      <c r="AE108" s="67">
        <f t="shared" si="70"/>
        <v>148.07272727272726</v>
      </c>
      <c r="AF108" s="67">
        <f t="shared" si="70"/>
        <v>164.71011235955058</v>
      </c>
      <c r="AH108" s="48">
        <f t="shared" si="65"/>
        <v>1130.0623870511508</v>
      </c>
      <c r="AI108" s="48">
        <f t="shared" si="58"/>
        <v>1117.5061383061384</v>
      </c>
      <c r="AJ108" s="48">
        <f t="shared" si="58"/>
        <v>1243.0686257562663</v>
      </c>
      <c r="AL108" s="9">
        <f t="shared" si="66"/>
        <v>1050.9580199575703</v>
      </c>
      <c r="AM108" s="9">
        <f t="shared" si="59"/>
        <v>1039.2807086247087</v>
      </c>
      <c r="AN108" s="9">
        <f t="shared" si="59"/>
        <v>1156.0538219533278</v>
      </c>
      <c r="AP108" s="8">
        <f t="shared" si="67"/>
        <v>76.844242319478255</v>
      </c>
      <c r="AQ108" s="8">
        <f t="shared" si="60"/>
        <v>75.990417404817407</v>
      </c>
      <c r="AR108" s="8">
        <f t="shared" si="60"/>
        <v>84.528666551426099</v>
      </c>
      <c r="AT108" s="8">
        <f t="shared" si="68"/>
        <v>2.2601247741022235</v>
      </c>
      <c r="AU108" s="8">
        <f t="shared" si="61"/>
        <v>2.235012276612224</v>
      </c>
      <c r="AV108" s="8">
        <f t="shared" si="61"/>
        <v>2.4861372515124458</v>
      </c>
    </row>
    <row r="109" spans="21:48" x14ac:dyDescent="0.25">
      <c r="U109" s="27" t="s">
        <v>52</v>
      </c>
      <c r="V109" s="47">
        <f t="shared" si="69"/>
        <v>1000.6009615384615</v>
      </c>
      <c r="W109" s="47">
        <f t="shared" si="69"/>
        <v>1016.4835164835165</v>
      </c>
      <c r="X109" s="47">
        <f t="shared" si="69"/>
        <v>1085.3976531942633</v>
      </c>
      <c r="Z109" s="48">
        <f t="shared" si="63"/>
        <v>1600.9615384615386</v>
      </c>
      <c r="AA109" s="48">
        <f t="shared" si="56"/>
        <v>1626.3736263736266</v>
      </c>
      <c r="AB109" s="48">
        <f t="shared" si="56"/>
        <v>1736.6362451108214</v>
      </c>
      <c r="AD109" s="67">
        <f t="shared" si="71"/>
        <v>187.3125</v>
      </c>
      <c r="AE109" s="67">
        <f t="shared" si="70"/>
        <v>190.28571428571431</v>
      </c>
      <c r="AF109" s="67">
        <f t="shared" si="70"/>
        <v>203.18644067796609</v>
      </c>
      <c r="AH109" s="48">
        <f t="shared" si="65"/>
        <v>1413.6490384615386</v>
      </c>
      <c r="AI109" s="48">
        <f t="shared" si="58"/>
        <v>1436.0879120879124</v>
      </c>
      <c r="AJ109" s="48">
        <f t="shared" si="58"/>
        <v>1533.4498044328552</v>
      </c>
      <c r="AL109" s="9">
        <f t="shared" si="66"/>
        <v>1314.693605769231</v>
      </c>
      <c r="AM109" s="9">
        <f t="shared" si="59"/>
        <v>1335.5617582417585</v>
      </c>
      <c r="AN109" s="9">
        <f t="shared" si="59"/>
        <v>1426.1083181225551</v>
      </c>
      <c r="AP109" s="8">
        <f t="shared" si="67"/>
        <v>96.128134615384624</v>
      </c>
      <c r="AQ109" s="8">
        <f t="shared" si="60"/>
        <v>97.653978021978034</v>
      </c>
      <c r="AR109" s="8">
        <f t="shared" si="60"/>
        <v>104.27458670143415</v>
      </c>
      <c r="AT109" s="8">
        <f t="shared" si="68"/>
        <v>2.8272980769229434</v>
      </c>
      <c r="AU109" s="8">
        <f t="shared" si="61"/>
        <v>2.8721758241758835</v>
      </c>
      <c r="AV109" s="8">
        <f t="shared" si="61"/>
        <v>3.0668996088659242</v>
      </c>
    </row>
    <row r="110" spans="21:48" x14ac:dyDescent="0.25">
      <c r="U110" s="27" t="s">
        <v>53</v>
      </c>
      <c r="V110" s="47">
        <f t="shared" si="69"/>
        <v>992.82051282051282</v>
      </c>
      <c r="W110" s="47">
        <f t="shared" si="69"/>
        <v>783.80566801619432</v>
      </c>
      <c r="X110" s="47">
        <f t="shared" si="69"/>
        <v>855.8797524314765</v>
      </c>
      <c r="Z110" s="48">
        <f t="shared" si="63"/>
        <v>1588.5128205128208</v>
      </c>
      <c r="AA110" s="48">
        <f t="shared" si="56"/>
        <v>1254.089068825911</v>
      </c>
      <c r="AB110" s="48">
        <f t="shared" si="56"/>
        <v>1369.4076038903627</v>
      </c>
      <c r="AD110" s="67">
        <f t="shared" si="71"/>
        <v>185.85600000000002</v>
      </c>
      <c r="AE110" s="67">
        <f t="shared" si="70"/>
        <v>146.72842105263157</v>
      </c>
      <c r="AF110" s="67">
        <f t="shared" si="70"/>
        <v>160.22068965517241</v>
      </c>
      <c r="AH110" s="48">
        <f t="shared" si="65"/>
        <v>1402.6568205128208</v>
      </c>
      <c r="AI110" s="48">
        <f t="shared" si="58"/>
        <v>1107.3606477732794</v>
      </c>
      <c r="AJ110" s="48">
        <f t="shared" si="58"/>
        <v>1209.1869142351902</v>
      </c>
      <c r="AL110" s="9">
        <f t="shared" si="66"/>
        <v>1304.4708430769233</v>
      </c>
      <c r="AM110" s="9">
        <f t="shared" si="59"/>
        <v>1029.8454024291498</v>
      </c>
      <c r="AN110" s="9">
        <f t="shared" si="59"/>
        <v>1124.543830238727</v>
      </c>
      <c r="AP110" s="8">
        <f t="shared" si="67"/>
        <v>95.380663794871822</v>
      </c>
      <c r="AQ110" s="8">
        <f t="shared" si="60"/>
        <v>75.300524048583</v>
      </c>
      <c r="AR110" s="8">
        <f t="shared" si="60"/>
        <v>82.224710167992924</v>
      </c>
      <c r="AT110" s="8">
        <f t="shared" si="68"/>
        <v>2.8053136410255775</v>
      </c>
      <c r="AU110" s="8">
        <f t="shared" si="61"/>
        <v>2.2147212955467239</v>
      </c>
      <c r="AV110" s="8">
        <f t="shared" si="61"/>
        <v>2.418373828470294</v>
      </c>
    </row>
    <row r="111" spans="21:48" x14ac:dyDescent="0.25">
      <c r="U111" s="27" t="s">
        <v>55</v>
      </c>
      <c r="V111" s="47">
        <f t="shared" si="69"/>
        <v>693.11740890688259</v>
      </c>
      <c r="W111" s="47">
        <f t="shared" si="69"/>
        <v>615.38461538461536</v>
      </c>
      <c r="X111" s="47">
        <f t="shared" si="69"/>
        <v>688.76729964596075</v>
      </c>
      <c r="Z111" s="48">
        <f t="shared" si="63"/>
        <v>1108.9878542510123</v>
      </c>
      <c r="AA111" s="48">
        <f t="shared" si="56"/>
        <v>984.61538461538464</v>
      </c>
      <c r="AB111" s="48">
        <f t="shared" si="56"/>
        <v>1102.0276794335373</v>
      </c>
      <c r="AD111" s="67">
        <f t="shared" si="71"/>
        <v>129.75157894736844</v>
      </c>
      <c r="AE111" s="67">
        <f t="shared" si="70"/>
        <v>115.2</v>
      </c>
      <c r="AF111" s="67">
        <f t="shared" si="70"/>
        <v>128.93723849372384</v>
      </c>
      <c r="AH111" s="48">
        <f t="shared" si="65"/>
        <v>979.23627530364388</v>
      </c>
      <c r="AI111" s="48">
        <f t="shared" si="58"/>
        <v>869.4153846153846</v>
      </c>
      <c r="AJ111" s="48">
        <f t="shared" si="58"/>
        <v>973.09044093981345</v>
      </c>
      <c r="AL111" s="9">
        <f t="shared" si="66"/>
        <v>910.68973603238874</v>
      </c>
      <c r="AM111" s="9">
        <f t="shared" si="59"/>
        <v>808.55630769230777</v>
      </c>
      <c r="AN111" s="9">
        <f t="shared" si="59"/>
        <v>904.9741100740265</v>
      </c>
      <c r="AP111" s="8">
        <f t="shared" si="67"/>
        <v>66.588066720647788</v>
      </c>
      <c r="AQ111" s="8">
        <f t="shared" si="60"/>
        <v>59.120246153846146</v>
      </c>
      <c r="AR111" s="8">
        <f t="shared" si="60"/>
        <v>66.170149983907308</v>
      </c>
      <c r="AT111" s="8">
        <f t="shared" si="68"/>
        <v>1.9584725506073255</v>
      </c>
      <c r="AU111" s="8">
        <f t="shared" si="61"/>
        <v>1.7388307692307308</v>
      </c>
      <c r="AV111" s="8">
        <f t="shared" si="61"/>
        <v>1.9461808818796271</v>
      </c>
    </row>
    <row r="112" spans="21:48" x14ac:dyDescent="0.25">
      <c r="U112" s="27" t="s">
        <v>56</v>
      </c>
      <c r="V112" s="47">
        <f t="shared" si="69"/>
        <v>881.29154795821455</v>
      </c>
      <c r="W112" s="47">
        <f t="shared" si="69"/>
        <v>996.99183498066179</v>
      </c>
      <c r="X112" s="47">
        <f t="shared" si="69"/>
        <v>857.98816568047323</v>
      </c>
      <c r="Z112" s="48">
        <f t="shared" si="63"/>
        <v>1410.0664767331434</v>
      </c>
      <c r="AA112" s="48">
        <f t="shared" si="56"/>
        <v>1595.186935969059</v>
      </c>
      <c r="AB112" s="48">
        <f t="shared" si="56"/>
        <v>1372.7810650887573</v>
      </c>
      <c r="AD112" s="67">
        <f t="shared" si="71"/>
        <v>164.97777777777776</v>
      </c>
      <c r="AE112" s="67">
        <f t="shared" si="70"/>
        <v>186.63687150837987</v>
      </c>
      <c r="AF112" s="67">
        <f t="shared" si="70"/>
        <v>160.61538461538458</v>
      </c>
      <c r="AH112" s="48">
        <f t="shared" si="65"/>
        <v>1245.0886989553655</v>
      </c>
      <c r="AI112" s="48">
        <f t="shared" si="58"/>
        <v>1408.5500644606791</v>
      </c>
      <c r="AJ112" s="48">
        <f t="shared" si="58"/>
        <v>1212.1656804733727</v>
      </c>
      <c r="AL112" s="9">
        <f t="shared" si="66"/>
        <v>1157.9324900284901</v>
      </c>
      <c r="AM112" s="9">
        <f t="shared" si="59"/>
        <v>1309.9515599484316</v>
      </c>
      <c r="AN112" s="9">
        <f t="shared" si="59"/>
        <v>1127.3140828402366</v>
      </c>
      <c r="AP112" s="8">
        <f t="shared" si="67"/>
        <v>84.666031528964851</v>
      </c>
      <c r="AQ112" s="8">
        <f t="shared" si="60"/>
        <v>95.781404383326176</v>
      </c>
      <c r="AR112" s="8">
        <f t="shared" si="60"/>
        <v>82.427266272189343</v>
      </c>
      <c r="AT112" s="8">
        <f t="shared" si="68"/>
        <v>2.4901773979106565</v>
      </c>
      <c r="AU112" s="8">
        <f t="shared" si="61"/>
        <v>2.8171001289213109</v>
      </c>
      <c r="AV112" s="8">
        <f t="shared" si="61"/>
        <v>2.4243313609467805</v>
      </c>
    </row>
    <row r="113" spans="21:48" x14ac:dyDescent="0.25">
      <c r="U113" s="27" t="s">
        <v>57</v>
      </c>
      <c r="V113" s="47">
        <f t="shared" si="69"/>
        <v>819.27710843373472</v>
      </c>
      <c r="W113" s="47">
        <f t="shared" si="69"/>
        <v>798.12206572769946</v>
      </c>
      <c r="X113" s="47">
        <f t="shared" si="69"/>
        <v>750.55187637969095</v>
      </c>
      <c r="Z113" s="48">
        <f t="shared" si="63"/>
        <v>1310.8433734939758</v>
      </c>
      <c r="AA113" s="48">
        <f t="shared" si="56"/>
        <v>1276.9953051643192</v>
      </c>
      <c r="AB113" s="48">
        <f t="shared" si="56"/>
        <v>1200.8830022075058</v>
      </c>
      <c r="AD113" s="67">
        <f t="shared" si="71"/>
        <v>153.36867469879516</v>
      </c>
      <c r="AE113" s="67">
        <f t="shared" si="70"/>
        <v>149.40845070422534</v>
      </c>
      <c r="AF113" s="67">
        <f t="shared" si="70"/>
        <v>140.50331125827816</v>
      </c>
      <c r="AH113" s="48">
        <f t="shared" si="65"/>
        <v>1157.4746987951808</v>
      </c>
      <c r="AI113" s="48">
        <f t="shared" si="58"/>
        <v>1127.5868544600939</v>
      </c>
      <c r="AJ113" s="48">
        <f t="shared" si="58"/>
        <v>1060.3796909492276</v>
      </c>
      <c r="AL113" s="9">
        <f t="shared" si="66"/>
        <v>1076.4514698795181</v>
      </c>
      <c r="AM113" s="9">
        <f t="shared" si="59"/>
        <v>1048.6557746478873</v>
      </c>
      <c r="AN113" s="9">
        <f t="shared" si="59"/>
        <v>986.15311258278166</v>
      </c>
      <c r="AP113" s="8">
        <f t="shared" si="67"/>
        <v>78.708279518072288</v>
      </c>
      <c r="AQ113" s="8">
        <f t="shared" si="60"/>
        <v>76.675906103286394</v>
      </c>
      <c r="AR113" s="8">
        <f t="shared" si="60"/>
        <v>72.105818984547469</v>
      </c>
      <c r="AT113" s="8">
        <f t="shared" si="68"/>
        <v>2.3149493975904534</v>
      </c>
      <c r="AU113" s="8">
        <f t="shared" si="61"/>
        <v>2.2551737089202106</v>
      </c>
      <c r="AV113" s="8">
        <f t="shared" si="61"/>
        <v>2.1207593818983241</v>
      </c>
    </row>
    <row r="114" spans="21:48" x14ac:dyDescent="0.25">
      <c r="U114" s="27" t="s">
        <v>58</v>
      </c>
      <c r="V114" s="47">
        <f t="shared" si="69"/>
        <v>904.27830596369927</v>
      </c>
      <c r="W114" s="47">
        <f t="shared" si="69"/>
        <v>833.99760860900744</v>
      </c>
      <c r="X114" s="47">
        <f t="shared" si="69"/>
        <v>933.11036789297646</v>
      </c>
      <c r="Z114" s="48">
        <f t="shared" si="63"/>
        <v>1446.8452895419189</v>
      </c>
      <c r="AA114" s="48">
        <f t="shared" si="56"/>
        <v>1334.3961737744121</v>
      </c>
      <c r="AB114" s="48">
        <f t="shared" si="56"/>
        <v>1492.9765886287626</v>
      </c>
      <c r="AD114" s="67">
        <f t="shared" si="71"/>
        <v>169.28089887640451</v>
      </c>
      <c r="AE114" s="67">
        <f t="shared" si="70"/>
        <v>156.12435233160622</v>
      </c>
      <c r="AF114" s="67">
        <f t="shared" si="70"/>
        <v>174.67826086956521</v>
      </c>
      <c r="AH114" s="48">
        <f t="shared" si="65"/>
        <v>1277.5643906655143</v>
      </c>
      <c r="AI114" s="48">
        <f t="shared" si="58"/>
        <v>1178.271821442806</v>
      </c>
      <c r="AJ114" s="48">
        <f t="shared" si="58"/>
        <v>1318.2983277591973</v>
      </c>
      <c r="AL114" s="9">
        <f t="shared" si="66"/>
        <v>1188.1348833189284</v>
      </c>
      <c r="AM114" s="9">
        <f t="shared" si="59"/>
        <v>1095.7927939418096</v>
      </c>
      <c r="AN114" s="9">
        <f t="shared" si="59"/>
        <v>1226.0174448160535</v>
      </c>
      <c r="AP114" s="8">
        <f t="shared" si="67"/>
        <v>86.874378565254972</v>
      </c>
      <c r="AQ114" s="8">
        <f t="shared" si="60"/>
        <v>80.122483858110797</v>
      </c>
      <c r="AR114" s="8">
        <f t="shared" si="60"/>
        <v>89.64428628762542</v>
      </c>
      <c r="AT114" s="8">
        <f t="shared" si="68"/>
        <v>2.55512878133095</v>
      </c>
      <c r="AU114" s="8">
        <f t="shared" si="61"/>
        <v>2.3565436428855264</v>
      </c>
      <c r="AV114" s="8">
        <f t="shared" si="61"/>
        <v>2.6365966555183604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89"/>
  <sheetViews>
    <sheetView topLeftCell="A10" workbookViewId="0">
      <selection activeCell="L178" sqref="L178"/>
    </sheetView>
  </sheetViews>
  <sheetFormatPr defaultColWidth="8.85546875" defaultRowHeight="15" x14ac:dyDescent="0.25"/>
  <cols>
    <col min="1" max="1" width="17.7109375" style="15" bestFit="1" customWidth="1"/>
    <col min="2" max="2" width="11.28515625" style="16" bestFit="1" customWidth="1"/>
    <col min="3" max="3" width="11.42578125" style="16" customWidth="1"/>
    <col min="4" max="4" width="9.5703125" style="16" bestFit="1" customWidth="1"/>
    <col min="5" max="6" width="9.140625" style="16" bestFit="1" customWidth="1"/>
    <col min="7" max="7" width="10.7109375" style="16" bestFit="1" customWidth="1"/>
    <col min="8" max="8" width="9.140625" style="16" bestFit="1" customWidth="1"/>
    <col min="9" max="9" width="13.42578125" style="16" customWidth="1"/>
    <col min="10" max="10" width="12.28515625" style="16" bestFit="1" customWidth="1"/>
    <col min="11" max="11" width="13.42578125" style="16" bestFit="1" customWidth="1"/>
    <col min="12" max="12" width="9.140625" style="16" bestFit="1" customWidth="1"/>
    <col min="13" max="13" width="9.5703125" style="16" bestFit="1" customWidth="1"/>
    <col min="14" max="14" width="9.5703125" style="16" customWidth="1"/>
    <col min="15" max="15" width="9.140625" style="16" bestFit="1" customWidth="1"/>
    <col min="16" max="16" width="12.28515625" style="16" bestFit="1" customWidth="1"/>
    <col min="17" max="17" width="9.85546875" style="15" customWidth="1"/>
    <col min="18" max="16384" width="8.85546875" style="15"/>
  </cols>
  <sheetData>
    <row r="2" spans="1:28" x14ac:dyDescent="0.25">
      <c r="C2" s="83">
        <v>2019</v>
      </c>
    </row>
    <row r="3" spans="1:28" ht="15.75" x14ac:dyDescent="0.25">
      <c r="C3" s="84" t="s">
        <v>103</v>
      </c>
    </row>
    <row r="5" spans="1:28" x14ac:dyDescent="0.25">
      <c r="A5" s="19" t="s">
        <v>13</v>
      </c>
      <c r="B5" s="20">
        <v>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1"/>
      <c r="P5" s="21"/>
    </row>
    <row r="6" spans="1:28" x14ac:dyDescent="0.25">
      <c r="A6" s="19" t="s">
        <v>14</v>
      </c>
      <c r="B6" s="20">
        <v>9</v>
      </c>
      <c r="C6" s="21" t="s">
        <v>15</v>
      </c>
      <c r="D6" s="21">
        <v>18</v>
      </c>
      <c r="E6" s="21"/>
      <c r="F6" s="21"/>
      <c r="G6" s="21"/>
      <c r="H6" s="21"/>
      <c r="I6" s="21"/>
      <c r="J6" s="21"/>
      <c r="K6" s="21"/>
      <c r="L6" s="21"/>
      <c r="M6" s="22"/>
      <c r="N6" s="22"/>
      <c r="O6" s="21"/>
      <c r="P6" s="21"/>
    </row>
    <row r="7" spans="1:28" x14ac:dyDescent="0.25">
      <c r="A7" s="15" t="s">
        <v>16</v>
      </c>
      <c r="B7" s="23">
        <v>3</v>
      </c>
    </row>
    <row r="8" spans="1:28" x14ac:dyDescent="0.25">
      <c r="A8" s="24" t="s">
        <v>0</v>
      </c>
      <c r="B8" s="25" t="s">
        <v>17</v>
      </c>
      <c r="C8" s="25" t="s">
        <v>18</v>
      </c>
      <c r="D8" s="25" t="s">
        <v>19</v>
      </c>
      <c r="E8" s="25" t="s">
        <v>20</v>
      </c>
      <c r="F8" s="25" t="s">
        <v>11</v>
      </c>
      <c r="O8" s="16" t="s">
        <v>21</v>
      </c>
      <c r="S8" s="26"/>
      <c r="T8" s="26"/>
      <c r="U8" s="26"/>
    </row>
    <row r="9" spans="1:28" x14ac:dyDescent="0.25">
      <c r="A9" s="27" t="s">
        <v>22</v>
      </c>
      <c r="B9" s="7">
        <f>'Water foot print'!Q7</f>
        <v>0.21199999999999999</v>
      </c>
      <c r="C9" s="7">
        <f>'Water foot print'!R7</f>
        <v>0.1888</v>
      </c>
      <c r="D9" s="7">
        <f>'Water foot print'!S7</f>
        <v>0.17247999999999999</v>
      </c>
      <c r="E9" s="28">
        <f t="shared" ref="E9:E26" si="0">SUM(B9:D9)</f>
        <v>0.57328000000000001</v>
      </c>
      <c r="F9" s="28">
        <f>E9/3</f>
        <v>0.19109333333333334</v>
      </c>
      <c r="H9" s="29"/>
      <c r="I9" s="29"/>
      <c r="J9" s="29" t="s">
        <v>23</v>
      </c>
      <c r="K9" s="29"/>
      <c r="L9" s="29"/>
      <c r="M9" s="29"/>
      <c r="N9" s="29"/>
      <c r="O9" s="30">
        <v>1</v>
      </c>
      <c r="P9" s="33">
        <f>SUM(F9:F17)/9</f>
        <v>0.35690454267306576</v>
      </c>
      <c r="Q9" s="31">
        <f>RANK(P9,P$9:P$10,0)</f>
        <v>2</v>
      </c>
      <c r="S9" s="24" t="s">
        <v>0</v>
      </c>
      <c r="T9" s="25" t="s">
        <v>17</v>
      </c>
      <c r="U9" s="25" t="s">
        <v>18</v>
      </c>
      <c r="V9" s="25" t="s">
        <v>19</v>
      </c>
    </row>
    <row r="10" spans="1:28" x14ac:dyDescent="0.25">
      <c r="A10" s="27" t="s">
        <v>24</v>
      </c>
      <c r="B10" s="7">
        <f>'Water foot print'!Q8</f>
        <v>0.32416666666666666</v>
      </c>
      <c r="C10" s="7">
        <f>'Water foot print'!R8</f>
        <v>0.35166666666666668</v>
      </c>
      <c r="D10" s="7">
        <f>'Water foot print'!S8</f>
        <v>0.36249999999999999</v>
      </c>
      <c r="E10" s="28">
        <f t="shared" si="0"/>
        <v>1.0383333333333333</v>
      </c>
      <c r="F10" s="28">
        <f t="shared" ref="F10:F26" si="1">E10/3</f>
        <v>0.34611111111111109</v>
      </c>
      <c r="G10" s="28"/>
      <c r="H10" s="25" t="s">
        <v>25</v>
      </c>
      <c r="I10" s="25" t="s">
        <v>26</v>
      </c>
      <c r="J10" s="25" t="s">
        <v>27</v>
      </c>
      <c r="K10" s="25" t="s">
        <v>28</v>
      </c>
      <c r="L10" s="25" t="s">
        <v>29</v>
      </c>
      <c r="M10" s="25" t="s">
        <v>30</v>
      </c>
      <c r="N10" s="32"/>
      <c r="O10" s="30">
        <v>2</v>
      </c>
      <c r="P10" s="33">
        <f>SUM(F18:F26)/9</f>
        <v>0.41244956290090906</v>
      </c>
      <c r="Q10" s="31">
        <f>RANK(P10,P$9:P$10,0)</f>
        <v>1</v>
      </c>
      <c r="S10" s="27" t="s">
        <v>22</v>
      </c>
      <c r="T10" s="9">
        <f>B9*100</f>
        <v>21.2</v>
      </c>
      <c r="U10" s="9">
        <f t="shared" ref="U10:V25" si="2">C9*100</f>
        <v>18.88</v>
      </c>
      <c r="V10" s="9">
        <f t="shared" si="2"/>
        <v>17.248000000000001</v>
      </c>
      <c r="X10" s="55"/>
      <c r="Y10" s="55" t="s">
        <v>88</v>
      </c>
    </row>
    <row r="11" spans="1:28" x14ac:dyDescent="0.25">
      <c r="A11" s="27" t="s">
        <v>31</v>
      </c>
      <c r="B11" s="7">
        <f>'Water foot print'!Q9</f>
        <v>0.40840336134453781</v>
      </c>
      <c r="C11" s="7">
        <f>'Water foot print'!R9</f>
        <v>0.39966386554621847</v>
      </c>
      <c r="D11" s="7">
        <f>'Water foot print'!S9</f>
        <v>0.38487394957983195</v>
      </c>
      <c r="E11" s="28">
        <f t="shared" si="0"/>
        <v>1.1929411764705882</v>
      </c>
      <c r="F11" s="28">
        <f t="shared" si="1"/>
        <v>0.39764705882352941</v>
      </c>
      <c r="G11" s="28" t="s">
        <v>32</v>
      </c>
      <c r="H11" s="28">
        <f>B7-1</f>
        <v>2</v>
      </c>
      <c r="I11" s="28">
        <f>D30</f>
        <v>3.4805332239606912E-4</v>
      </c>
      <c r="J11" s="28">
        <f>I11/H11</f>
        <v>1.7402666119803456E-4</v>
      </c>
      <c r="K11" s="28">
        <f>J11/$J$16</f>
        <v>0.35064109793287501</v>
      </c>
      <c r="L11" s="28">
        <f>FINV(0.05,H11,$H$16)</f>
        <v>3.275897990672394</v>
      </c>
      <c r="M11" s="28" t="str">
        <f>IF(K11&gt;=L11, "S", "NS")</f>
        <v>NS</v>
      </c>
      <c r="N11" s="21"/>
      <c r="O11" s="25" t="s">
        <v>33</v>
      </c>
      <c r="P11" s="54">
        <f>SQRT(J16/(3*9))</f>
        <v>4.2874059191665616E-3</v>
      </c>
      <c r="S11" s="27" t="s">
        <v>24</v>
      </c>
      <c r="T11" s="9">
        <f t="shared" ref="T11:V27" si="3">B10*100</f>
        <v>32.416666666666664</v>
      </c>
      <c r="U11" s="9">
        <f t="shared" si="2"/>
        <v>35.166666666666671</v>
      </c>
      <c r="V11" s="9">
        <f t="shared" si="2"/>
        <v>36.25</v>
      </c>
      <c r="X11" s="27" t="s">
        <v>89</v>
      </c>
      <c r="Y11" s="56">
        <v>0</v>
      </c>
      <c r="AB11" s="52">
        <f>(T11-T10)/Y12</f>
        <v>7.4777777777777762E-2</v>
      </c>
    </row>
    <row r="12" spans="1:28" x14ac:dyDescent="0.25">
      <c r="A12" s="27" t="s">
        <v>34</v>
      </c>
      <c r="B12" s="7">
        <f>'Water foot print'!Q10</f>
        <v>0.32991452991452991</v>
      </c>
      <c r="C12" s="7">
        <f>'Water foot print'!R10</f>
        <v>0.32307692307692304</v>
      </c>
      <c r="D12" s="7">
        <f>'Water foot print'!S10</f>
        <v>0.30940170940170947</v>
      </c>
      <c r="E12" s="28">
        <f t="shared" si="0"/>
        <v>0.9623931623931623</v>
      </c>
      <c r="F12" s="28">
        <f t="shared" si="1"/>
        <v>0.32079772079772079</v>
      </c>
      <c r="G12" s="28" t="s">
        <v>35</v>
      </c>
      <c r="H12" s="28">
        <f>D6-1</f>
        <v>17</v>
      </c>
      <c r="I12" s="28">
        <f>B31</f>
        <v>0.4327350843183515</v>
      </c>
      <c r="J12" s="28">
        <f t="shared" ref="J12:J16" si="4">I12/H12</f>
        <v>2.5455004959903028E-2</v>
      </c>
      <c r="K12" s="28">
        <f>J12/$J$16</f>
        <v>51.288525709691555</v>
      </c>
      <c r="L12" s="28">
        <f>FINV(0.05,H12,$H$16)</f>
        <v>1.9332068318040869</v>
      </c>
      <c r="M12" s="34" t="str">
        <f t="shared" ref="M12:M15" si="5">IF(K12&gt;=L12, "S", "NS")</f>
        <v>S</v>
      </c>
      <c r="N12" s="25" t="s">
        <v>36</v>
      </c>
      <c r="O12" s="25" t="s">
        <v>37</v>
      </c>
      <c r="P12" s="54">
        <f>SQRT((2*J16)/(3*9))*L17</f>
        <v>1.2322123574917141E-2</v>
      </c>
      <c r="S12" s="27" t="s">
        <v>31</v>
      </c>
      <c r="T12" s="9">
        <f t="shared" si="3"/>
        <v>40.840336134453779</v>
      </c>
      <c r="U12" s="9">
        <f t="shared" si="2"/>
        <v>39.966386554621849</v>
      </c>
      <c r="V12" s="9">
        <f t="shared" si="2"/>
        <v>38.487394957983199</v>
      </c>
      <c r="X12" s="27" t="s">
        <v>90</v>
      </c>
      <c r="Y12" s="56">
        <v>150</v>
      </c>
    </row>
    <row r="13" spans="1:28" x14ac:dyDescent="0.25">
      <c r="A13" s="27" t="s">
        <v>38</v>
      </c>
      <c r="B13" s="7">
        <f>'Water foot print'!Q11</f>
        <v>0.39826086956521739</v>
      </c>
      <c r="C13" s="7">
        <f>'Water foot print'!R11</f>
        <v>0.41391304347826086</v>
      </c>
      <c r="D13" s="7">
        <f>'Water foot print'!S11</f>
        <v>0.38695652173913042</v>
      </c>
      <c r="E13" s="28">
        <f t="shared" si="0"/>
        <v>1.1991304347826086</v>
      </c>
      <c r="F13" s="28">
        <f t="shared" si="1"/>
        <v>0.3997101449275362</v>
      </c>
      <c r="G13" s="28" t="s">
        <v>39</v>
      </c>
      <c r="H13" s="28">
        <f>B5-1</f>
        <v>1</v>
      </c>
      <c r="I13" s="28">
        <f>(SUM(E9:E17)^2+SUM(E18:E26)^2)/27-B29</f>
        <v>4.1650865173502361E-2</v>
      </c>
      <c r="J13" s="28">
        <f t="shared" si="4"/>
        <v>4.1650865173502361E-2</v>
      </c>
      <c r="K13" s="28">
        <f>J13/$J$16</f>
        <v>83.921078493092168</v>
      </c>
      <c r="L13" s="28">
        <f>FINV(0.05,H13,$H$16)</f>
        <v>4.1300177456520188</v>
      </c>
      <c r="M13" s="28" t="str">
        <f>IF(K13&gt;=L13, "S", "NS")</f>
        <v>S</v>
      </c>
      <c r="N13" s="21"/>
      <c r="O13" s="30">
        <v>1</v>
      </c>
      <c r="P13" s="33">
        <f>(F9+F18)/2</f>
        <v>0.19447633027522937</v>
      </c>
      <c r="Q13" s="31">
        <f>RANK(P13,P$13:P$21,0)</f>
        <v>9</v>
      </c>
      <c r="R13" s="35">
        <v>1</v>
      </c>
      <c r="S13" s="27" t="s">
        <v>34</v>
      </c>
      <c r="T13" s="9">
        <f t="shared" si="3"/>
        <v>32.991452991452988</v>
      </c>
      <c r="U13" s="9">
        <f t="shared" si="2"/>
        <v>32.307692307692307</v>
      </c>
      <c r="V13" s="9">
        <f t="shared" si="2"/>
        <v>30.940170940170947</v>
      </c>
      <c r="X13" s="27" t="s">
        <v>91</v>
      </c>
      <c r="Y13" s="56">
        <v>187.5</v>
      </c>
    </row>
    <row r="14" spans="1:28" x14ac:dyDescent="0.25">
      <c r="A14" s="27" t="s">
        <v>40</v>
      </c>
      <c r="B14" s="7">
        <f>'Water foot print'!Q12</f>
        <v>0.48867924528301887</v>
      </c>
      <c r="C14" s="7">
        <f>'Water foot print'!R12</f>
        <v>0.46981132075471699</v>
      </c>
      <c r="D14" s="7">
        <f>'Water foot print'!S12</f>
        <v>0.45094339622641511</v>
      </c>
      <c r="E14" s="28">
        <f t="shared" si="0"/>
        <v>1.409433962264151</v>
      </c>
      <c r="F14" s="28">
        <f t="shared" si="1"/>
        <v>0.46981132075471699</v>
      </c>
      <c r="G14" s="28" t="s">
        <v>41</v>
      </c>
      <c r="H14" s="28">
        <f>B6-1</f>
        <v>8</v>
      </c>
      <c r="I14" s="28">
        <f>((E9+E18)^2+(E10+E19)^2+(E11+E20)^2+(E12+E21)^2+(E13+E22)^2+(E14+E23)^2+(E15+E24)^2+(E16+E25)^2+(E17+E26)^2/6)-B29</f>
        <v>37.724551460502163</v>
      </c>
      <c r="J14" s="28">
        <f t="shared" si="4"/>
        <v>4.7155689325627703</v>
      </c>
      <c r="K14" s="28">
        <f>J14/$J$16</f>
        <v>9501.2583503535006</v>
      </c>
      <c r="L14" s="28">
        <f>FINV(0.05,H14,$H$16)</f>
        <v>2.2253399674380931</v>
      </c>
      <c r="M14" s="28" t="str">
        <f>IF(K14&gt;=L14, "S", "NS")</f>
        <v>S</v>
      </c>
      <c r="N14" s="21"/>
      <c r="O14" s="30">
        <v>2</v>
      </c>
      <c r="P14" s="33">
        <f t="shared" ref="P14:P21" si="6">(F10+F19)/2</f>
        <v>0.35025681341719073</v>
      </c>
      <c r="Q14" s="31">
        <f t="shared" ref="Q14:Q21" si="7">RANK(P14,P$13:P$21,0)</f>
        <v>7</v>
      </c>
      <c r="R14" s="37">
        <v>2</v>
      </c>
      <c r="S14" s="27" t="s">
        <v>38</v>
      </c>
      <c r="T14" s="9">
        <f t="shared" si="3"/>
        <v>39.826086956521742</v>
      </c>
      <c r="U14" s="9">
        <f t="shared" si="2"/>
        <v>41.391304347826086</v>
      </c>
      <c r="V14" s="9">
        <f t="shared" si="2"/>
        <v>38.695652173913039</v>
      </c>
      <c r="X14" s="27" t="s">
        <v>92</v>
      </c>
      <c r="Y14" s="56">
        <v>71.599999999999994</v>
      </c>
    </row>
    <row r="15" spans="1:28" x14ac:dyDescent="0.25">
      <c r="A15" s="27" t="s">
        <v>42</v>
      </c>
      <c r="B15" s="7">
        <f>'Water foot print'!Q13</f>
        <v>0.36216216216216213</v>
      </c>
      <c r="C15" s="7">
        <f>'Water foot print'!R13</f>
        <v>0.35585585585585577</v>
      </c>
      <c r="D15" s="7">
        <f>'Water foot print'!S13</f>
        <v>0.35045045045045037</v>
      </c>
      <c r="E15" s="28">
        <f t="shared" si="0"/>
        <v>1.0684684684684682</v>
      </c>
      <c r="F15" s="28">
        <f t="shared" si="1"/>
        <v>0.35615615615615609</v>
      </c>
      <c r="G15" s="38" t="s">
        <v>43</v>
      </c>
      <c r="H15" s="28">
        <f>H13*H14</f>
        <v>8</v>
      </c>
      <c r="I15" s="28">
        <f>I12-(I13+I14)</f>
        <v>-37.333467241357312</v>
      </c>
      <c r="J15" s="28">
        <f t="shared" si="4"/>
        <v>-4.666683405169664</v>
      </c>
      <c r="K15" s="39">
        <f>J15/$J$16</f>
        <v>-9402.7603680320408</v>
      </c>
      <c r="L15" s="28">
        <f>FINV(0.05,H15,$H$16)</f>
        <v>2.2253399674380931</v>
      </c>
      <c r="M15" s="28" t="str">
        <f t="shared" si="5"/>
        <v>NS</v>
      </c>
      <c r="N15" s="21"/>
      <c r="O15" s="30">
        <v>3</v>
      </c>
      <c r="P15" s="33">
        <f t="shared" si="6"/>
        <v>0.42660130718954248</v>
      </c>
      <c r="Q15" s="31">
        <f t="shared" si="7"/>
        <v>3</v>
      </c>
      <c r="R15" s="37">
        <v>3</v>
      </c>
      <c r="S15" s="27" t="s">
        <v>40</v>
      </c>
      <c r="T15" s="9">
        <f t="shared" si="3"/>
        <v>48.867924528301884</v>
      </c>
      <c r="U15" s="9">
        <f t="shared" si="2"/>
        <v>46.981132075471699</v>
      </c>
      <c r="V15" s="9">
        <f t="shared" si="2"/>
        <v>45.094339622641513</v>
      </c>
      <c r="X15" s="27" t="s">
        <v>93</v>
      </c>
      <c r="Y15" s="56">
        <f>150+AA15</f>
        <v>150</v>
      </c>
    </row>
    <row r="16" spans="1:28" x14ac:dyDescent="0.25">
      <c r="A16" s="27" t="s">
        <v>44</v>
      </c>
      <c r="B16" s="7">
        <f>'Water foot print'!Q14</f>
        <v>0.39908256880733944</v>
      </c>
      <c r="C16" s="7">
        <f>'Water foot print'!R14</f>
        <v>0.38990825688073394</v>
      </c>
      <c r="D16" s="7">
        <f>'Water foot print'!S14</f>
        <v>0.38440366972477064</v>
      </c>
      <c r="E16" s="28">
        <f t="shared" si="0"/>
        <v>1.1733944954128439</v>
      </c>
      <c r="F16" s="28">
        <f t="shared" si="1"/>
        <v>0.39113149847094797</v>
      </c>
      <c r="G16" s="40" t="s">
        <v>45</v>
      </c>
      <c r="H16" s="28">
        <f>((B7-1)*(B5*B6-1))</f>
        <v>34</v>
      </c>
      <c r="I16" s="28">
        <f>D31</f>
        <v>1.6874537855416705E-2</v>
      </c>
      <c r="J16" s="28">
        <f t="shared" si="4"/>
        <v>4.9630993692402069E-4</v>
      </c>
      <c r="O16" s="30">
        <v>4</v>
      </c>
      <c r="P16" s="33">
        <f t="shared" si="6"/>
        <v>0.34979279979279976</v>
      </c>
      <c r="Q16" s="31">
        <f t="shared" si="7"/>
        <v>8</v>
      </c>
      <c r="R16" s="37">
        <v>4</v>
      </c>
      <c r="S16" s="27" t="s">
        <v>42</v>
      </c>
      <c r="T16" s="9">
        <f t="shared" si="3"/>
        <v>36.21621621621621</v>
      </c>
      <c r="U16" s="9">
        <f t="shared" si="2"/>
        <v>35.585585585585576</v>
      </c>
      <c r="V16" s="9">
        <f t="shared" si="2"/>
        <v>35.045045045045036</v>
      </c>
      <c r="X16" s="27" t="s">
        <v>94</v>
      </c>
      <c r="Y16" s="56">
        <f>150+AA15+20</f>
        <v>170</v>
      </c>
    </row>
    <row r="17" spans="1:25" x14ac:dyDescent="0.25">
      <c r="A17" s="27" t="s">
        <v>46</v>
      </c>
      <c r="B17" s="7">
        <f>'Water foot print'!Q15</f>
        <v>0.34761904761904761</v>
      </c>
      <c r="C17" s="7">
        <f>'Water foot print'!R15</f>
        <v>0.34</v>
      </c>
      <c r="D17" s="7">
        <f>'Water foot print'!S15</f>
        <v>0.33142857142857141</v>
      </c>
      <c r="E17" s="28">
        <f t="shared" si="0"/>
        <v>1.019047619047619</v>
      </c>
      <c r="F17" s="28">
        <f t="shared" si="1"/>
        <v>0.33968253968253964</v>
      </c>
      <c r="G17" s="39" t="s">
        <v>20</v>
      </c>
      <c r="H17" s="28">
        <f>SUM(H11:H16)-H12</f>
        <v>53</v>
      </c>
      <c r="I17" s="28">
        <f>B30</f>
        <v>0.44995767549616428</v>
      </c>
      <c r="K17" s="28" t="s">
        <v>47</v>
      </c>
      <c r="L17" s="16">
        <f>TINV(0.05,34)</f>
        <v>2.0322445093177191</v>
      </c>
      <c r="O17" s="30">
        <v>5</v>
      </c>
      <c r="P17" s="33">
        <f t="shared" si="6"/>
        <v>0.4161745169082125</v>
      </c>
      <c r="Q17" s="31">
        <f t="shared" si="7"/>
        <v>4</v>
      </c>
      <c r="R17" s="35">
        <v>5</v>
      </c>
      <c r="S17" s="27" t="s">
        <v>44</v>
      </c>
      <c r="T17" s="9">
        <f t="shared" si="3"/>
        <v>39.908256880733944</v>
      </c>
      <c r="U17" s="9">
        <f t="shared" si="2"/>
        <v>38.990825688073393</v>
      </c>
      <c r="V17" s="9">
        <f t="shared" si="2"/>
        <v>38.440366972477065</v>
      </c>
      <c r="X17" s="27" t="s">
        <v>95</v>
      </c>
      <c r="Y17" s="56">
        <f>112.5+AA15</f>
        <v>112.5</v>
      </c>
    </row>
    <row r="18" spans="1:25" x14ac:dyDescent="0.25">
      <c r="A18" s="27" t="s">
        <v>48</v>
      </c>
      <c r="B18" s="7">
        <f>'Water foot print'!Q16</f>
        <v>0.24311926605504589</v>
      </c>
      <c r="C18" s="7">
        <f>'Water foot print'!R16</f>
        <v>0.14311926605504588</v>
      </c>
      <c r="D18" s="7">
        <f>'Water foot print'!S16</f>
        <v>0.20733944954128442</v>
      </c>
      <c r="E18" s="28">
        <f t="shared" si="0"/>
        <v>0.59357798165137621</v>
      </c>
      <c r="F18" s="28">
        <f t="shared" si="1"/>
        <v>0.1978593272171254</v>
      </c>
      <c r="G18" s="42" t="s">
        <v>33</v>
      </c>
      <c r="H18" s="28">
        <f>SQRT(J16/3)</f>
        <v>1.2862217757499685E-2</v>
      </c>
      <c r="O18" s="30">
        <v>6</v>
      </c>
      <c r="P18" s="33">
        <f t="shared" si="6"/>
        <v>0.52220724767894577</v>
      </c>
      <c r="Q18" s="31">
        <f t="shared" si="7"/>
        <v>1</v>
      </c>
      <c r="R18" s="37">
        <v>8</v>
      </c>
      <c r="S18" s="27" t="s">
        <v>46</v>
      </c>
      <c r="T18" s="9">
        <f t="shared" si="3"/>
        <v>34.761904761904759</v>
      </c>
      <c r="U18" s="9">
        <f t="shared" si="2"/>
        <v>34</v>
      </c>
      <c r="V18" s="9">
        <f t="shared" si="2"/>
        <v>33.142857142857139</v>
      </c>
      <c r="X18" s="27" t="s">
        <v>96</v>
      </c>
      <c r="Y18" s="56">
        <f>112.5+AA15+20</f>
        <v>132.5</v>
      </c>
    </row>
    <row r="19" spans="1:25" x14ac:dyDescent="0.25">
      <c r="A19" s="27" t="s">
        <v>49</v>
      </c>
      <c r="B19" s="7">
        <f>'Water foot print'!Q17</f>
        <v>0.3632075471698113</v>
      </c>
      <c r="C19" s="7">
        <f>'Water foot print'!R17</f>
        <v>0.34339622641509432</v>
      </c>
      <c r="D19" s="7">
        <f>'Water foot print'!S17</f>
        <v>0.35660377358490564</v>
      </c>
      <c r="E19" s="28">
        <f t="shared" si="0"/>
        <v>1.0632075471698113</v>
      </c>
      <c r="F19" s="28">
        <f t="shared" si="1"/>
        <v>0.35440251572327042</v>
      </c>
      <c r="G19" s="42" t="s">
        <v>37</v>
      </c>
      <c r="H19" s="28">
        <f>(SQRT((2*J16)/3))*L17</f>
        <v>3.6966370724751424E-2</v>
      </c>
      <c r="O19" s="30">
        <v>7</v>
      </c>
      <c r="P19" s="33">
        <f t="shared" si="6"/>
        <v>0.38188242590416499</v>
      </c>
      <c r="Q19" s="31">
        <f t="shared" si="7"/>
        <v>6</v>
      </c>
      <c r="R19" s="37">
        <v>6</v>
      </c>
      <c r="S19" s="27" t="s">
        <v>48</v>
      </c>
      <c r="T19" s="9">
        <f t="shared" si="3"/>
        <v>24.311926605504588</v>
      </c>
      <c r="U19" s="9">
        <f t="shared" si="2"/>
        <v>14.311926605504588</v>
      </c>
      <c r="V19" s="9">
        <f t="shared" si="2"/>
        <v>20.733944954128443</v>
      </c>
      <c r="X19" s="27" t="s">
        <v>97</v>
      </c>
      <c r="Y19" s="56">
        <f>AB15+20</f>
        <v>20</v>
      </c>
    </row>
    <row r="20" spans="1:25" x14ac:dyDescent="0.25">
      <c r="A20" s="27" t="s">
        <v>50</v>
      </c>
      <c r="B20" s="7">
        <f>'Water foot print'!Q18</f>
        <v>0.46862745098039216</v>
      </c>
      <c r="C20" s="7">
        <f>'Water foot print'!R18</f>
        <v>0.45882352941176469</v>
      </c>
      <c r="D20" s="7">
        <f>'Water foot print'!S18</f>
        <v>0.4392156862745098</v>
      </c>
      <c r="E20" s="28">
        <f t="shared" si="0"/>
        <v>1.3666666666666667</v>
      </c>
      <c r="F20" s="28">
        <f t="shared" si="1"/>
        <v>0.45555555555555555</v>
      </c>
      <c r="G20" s="42" t="s">
        <v>51</v>
      </c>
      <c r="H20" s="28">
        <f>((SQRT(J16))/F27)*100</f>
        <v>5.7913552400902866</v>
      </c>
      <c r="O20" s="30">
        <v>8</v>
      </c>
      <c r="P20" s="33">
        <f t="shared" si="6"/>
        <v>0.43401271893244364</v>
      </c>
      <c r="Q20" s="31">
        <f t="shared" si="7"/>
        <v>2</v>
      </c>
      <c r="R20" s="35">
        <v>7</v>
      </c>
      <c r="S20" s="27" t="s">
        <v>49</v>
      </c>
      <c r="T20" s="9">
        <f t="shared" si="3"/>
        <v>36.320754716981128</v>
      </c>
      <c r="U20" s="9">
        <f t="shared" si="2"/>
        <v>34.339622641509429</v>
      </c>
      <c r="V20" s="9">
        <f t="shared" si="2"/>
        <v>35.660377358490564</v>
      </c>
    </row>
    <row r="21" spans="1:25" x14ac:dyDescent="0.25">
      <c r="A21" s="27" t="s">
        <v>52</v>
      </c>
      <c r="B21" s="7">
        <f>'Water foot print'!Q19</f>
        <v>0.37171717171717167</v>
      </c>
      <c r="C21" s="7">
        <f>'Water foot print'!R19</f>
        <v>0.36262626262626263</v>
      </c>
      <c r="D21" s="7">
        <f>'Water foot print'!S19</f>
        <v>0.402020202020202</v>
      </c>
      <c r="E21" s="28">
        <f t="shared" si="0"/>
        <v>1.1363636363636362</v>
      </c>
      <c r="F21" s="28">
        <f t="shared" si="1"/>
        <v>0.37878787878787873</v>
      </c>
      <c r="K21" s="16" t="s">
        <v>104</v>
      </c>
      <c r="O21" s="30">
        <v>9</v>
      </c>
      <c r="P21" s="33">
        <f t="shared" si="6"/>
        <v>0.38668931498435727</v>
      </c>
      <c r="Q21" s="31">
        <f t="shared" si="7"/>
        <v>5</v>
      </c>
      <c r="R21" s="37">
        <v>9</v>
      </c>
      <c r="S21" s="27" t="s">
        <v>50</v>
      </c>
      <c r="T21" s="9">
        <f t="shared" si="3"/>
        <v>46.862745098039213</v>
      </c>
      <c r="U21" s="9">
        <f t="shared" si="2"/>
        <v>45.882352941176471</v>
      </c>
      <c r="V21" s="9">
        <f t="shared" si="2"/>
        <v>43.921568627450981</v>
      </c>
    </row>
    <row r="22" spans="1:25" x14ac:dyDescent="0.25">
      <c r="A22" s="27" t="s">
        <v>53</v>
      </c>
      <c r="B22" s="7">
        <f>'Water foot print'!Q20</f>
        <v>0.38020833333333331</v>
      </c>
      <c r="C22" s="7">
        <f>'Water foot print'!R20</f>
        <v>0.47499999999999998</v>
      </c>
      <c r="D22" s="7">
        <f>'Water foot print'!S20</f>
        <v>0.44270833333333331</v>
      </c>
      <c r="E22" s="28">
        <f t="shared" si="0"/>
        <v>1.2979166666666666</v>
      </c>
      <c r="F22" s="28">
        <f t="shared" si="1"/>
        <v>0.43263888888888885</v>
      </c>
      <c r="O22" s="25" t="s">
        <v>33</v>
      </c>
      <c r="P22" s="54">
        <f>SQRT(J16/(3*2))</f>
        <v>9.094961397426056E-3</v>
      </c>
      <c r="Q22" s="31"/>
      <c r="S22" s="27" t="s">
        <v>52</v>
      </c>
      <c r="T22" s="9">
        <f t="shared" si="3"/>
        <v>37.171717171717169</v>
      </c>
      <c r="U22" s="9">
        <f t="shared" si="2"/>
        <v>36.262626262626263</v>
      </c>
      <c r="V22" s="9">
        <f t="shared" si="2"/>
        <v>40.202020202020201</v>
      </c>
    </row>
    <row r="23" spans="1:25" x14ac:dyDescent="0.25">
      <c r="A23" s="27" t="s">
        <v>55</v>
      </c>
      <c r="B23" s="7">
        <f>'Water foot print'!Q21</f>
        <v>0.55714285714285716</v>
      </c>
      <c r="C23" s="7">
        <f>'Water foot print'!R21</f>
        <v>0.60476190476190472</v>
      </c>
      <c r="D23" s="7">
        <f>'Water foot print'!S21</f>
        <v>0.56190476190476191</v>
      </c>
      <c r="E23" s="28">
        <f t="shared" si="0"/>
        <v>1.7238095238095237</v>
      </c>
      <c r="F23" s="28">
        <f t="shared" si="1"/>
        <v>0.57460317460317456</v>
      </c>
      <c r="G23" s="43"/>
      <c r="N23" s="25" t="s">
        <v>41</v>
      </c>
      <c r="O23" s="25" t="s">
        <v>37</v>
      </c>
      <c r="P23" s="54">
        <f>SQRT((2*J16)/(3*2))*L17</f>
        <v>2.6139171415327601E-2</v>
      </c>
      <c r="Q23" s="31"/>
      <c r="S23" s="27" t="s">
        <v>53</v>
      </c>
      <c r="T23" s="9">
        <f t="shared" si="3"/>
        <v>38.020833333333329</v>
      </c>
      <c r="U23" s="9">
        <f t="shared" si="2"/>
        <v>47.5</v>
      </c>
      <c r="V23" s="9">
        <f t="shared" si="2"/>
        <v>44.270833333333329</v>
      </c>
    </row>
    <row r="24" spans="1:25" x14ac:dyDescent="0.25">
      <c r="A24" s="27" t="s">
        <v>56</v>
      </c>
      <c r="B24" s="7">
        <f>'Water foot print'!Q22</f>
        <v>0.41195652173913044</v>
      </c>
      <c r="C24" s="7">
        <f>'Water foot print'!R22</f>
        <v>0.41086956521739126</v>
      </c>
      <c r="D24" s="7">
        <f>'Water foot print'!S22</f>
        <v>0.39999999999999997</v>
      </c>
      <c r="E24" s="28">
        <f t="shared" si="0"/>
        <v>1.2228260869565217</v>
      </c>
      <c r="F24" s="28">
        <f>E24/3</f>
        <v>0.40760869565217389</v>
      </c>
      <c r="G24" s="43"/>
      <c r="Q24" s="31"/>
      <c r="S24" s="27" t="s">
        <v>55</v>
      </c>
      <c r="T24" s="9">
        <f t="shared" si="3"/>
        <v>55.714285714285715</v>
      </c>
      <c r="U24" s="9">
        <f t="shared" si="2"/>
        <v>60.476190476190474</v>
      </c>
      <c r="V24" s="9">
        <f t="shared" si="2"/>
        <v>56.19047619047619</v>
      </c>
    </row>
    <row r="25" spans="1:25" x14ac:dyDescent="0.25">
      <c r="A25" s="27" t="s">
        <v>57</v>
      </c>
      <c r="B25" s="7">
        <f>'Water foot print'!Q23</f>
        <v>0.46477272727272728</v>
      </c>
      <c r="C25" s="7">
        <f>'Water foot print'!R23</f>
        <v>0.47499999999999998</v>
      </c>
      <c r="D25" s="7">
        <f>'Water foot print'!S23</f>
        <v>0.49090909090909091</v>
      </c>
      <c r="E25" s="28">
        <f t="shared" si="0"/>
        <v>1.4306818181818182</v>
      </c>
      <c r="F25" s="28">
        <f t="shared" si="1"/>
        <v>0.47689393939393937</v>
      </c>
      <c r="G25" s="43"/>
      <c r="S25" s="27" t="s">
        <v>56</v>
      </c>
      <c r="T25" s="9">
        <f t="shared" si="3"/>
        <v>41.195652173913047</v>
      </c>
      <c r="U25" s="9">
        <f t="shared" si="2"/>
        <v>41.086956521739125</v>
      </c>
      <c r="V25" s="9">
        <f t="shared" si="2"/>
        <v>40</v>
      </c>
    </row>
    <row r="26" spans="1:25" x14ac:dyDescent="0.25">
      <c r="A26" s="27" t="s">
        <v>58</v>
      </c>
      <c r="B26" s="7">
        <f>'Water foot print'!Q24</f>
        <v>0.42079806529625147</v>
      </c>
      <c r="C26" s="7">
        <f>'Water foot print'!R24</f>
        <v>0.45465538089480051</v>
      </c>
      <c r="D26" s="7">
        <f>'Water foot print'!S24</f>
        <v>0.42563482466747282</v>
      </c>
      <c r="E26" s="28">
        <f t="shared" si="0"/>
        <v>1.3010882708585247</v>
      </c>
      <c r="F26" s="28">
        <f t="shared" si="1"/>
        <v>0.4336960902861749</v>
      </c>
      <c r="G26" s="43"/>
      <c r="S26" s="27" t="s">
        <v>57</v>
      </c>
      <c r="T26" s="9">
        <f t="shared" si="3"/>
        <v>46.477272727272727</v>
      </c>
      <c r="U26" s="9">
        <f t="shared" si="3"/>
        <v>47.5</v>
      </c>
      <c r="V26" s="9">
        <f t="shared" si="3"/>
        <v>49.090909090909093</v>
      </c>
    </row>
    <row r="27" spans="1:25" x14ac:dyDescent="0.25">
      <c r="A27" s="25" t="s">
        <v>20</v>
      </c>
      <c r="B27" s="28">
        <f>SUM(B9:B26)</f>
        <v>6.9518383920692397</v>
      </c>
      <c r="C27" s="28">
        <f>SUM(C9:C26)</f>
        <v>6.9609480676416382</v>
      </c>
      <c r="D27" s="28">
        <f>SUM(D9:D26)</f>
        <v>6.8597743907864395</v>
      </c>
      <c r="E27" s="28">
        <f>SUM(E9:E26)</f>
        <v>20.772560850497324</v>
      </c>
      <c r="F27" s="28">
        <f>AVERAGE(B9:D26)</f>
        <v>0.38467705278698755</v>
      </c>
      <c r="G27" s="43"/>
      <c r="S27" s="27" t="s">
        <v>58</v>
      </c>
      <c r="T27" s="9">
        <f t="shared" si="3"/>
        <v>42.079806529625145</v>
      </c>
      <c r="U27" s="9">
        <f t="shared" si="3"/>
        <v>45.465538089480049</v>
      </c>
      <c r="V27" s="9">
        <f t="shared" si="3"/>
        <v>42.563482466747281</v>
      </c>
    </row>
    <row r="28" spans="1:25" x14ac:dyDescent="0.25">
      <c r="A28" s="25" t="s">
        <v>11</v>
      </c>
      <c r="B28" s="28">
        <f>B27/18</f>
        <v>0.38621324400384666</v>
      </c>
      <c r="C28" s="28">
        <f>C27/18</f>
        <v>0.3867193370912021</v>
      </c>
      <c r="D28" s="28">
        <f>D27/18</f>
        <v>0.38109857726591329</v>
      </c>
      <c r="G28" s="43"/>
    </row>
    <row r="29" spans="1:25" x14ac:dyDescent="0.25">
      <c r="A29" s="25" t="s">
        <v>59</v>
      </c>
      <c r="B29" s="28">
        <f>(E27*E27)/54</f>
        <v>7.9907274868076685</v>
      </c>
      <c r="C29" s="28"/>
      <c r="D29" s="28"/>
      <c r="G29" s="43"/>
    </row>
    <row r="30" spans="1:25" x14ac:dyDescent="0.25">
      <c r="A30" s="25" t="s">
        <v>60</v>
      </c>
      <c r="B30" s="28">
        <f>SUMSQ(B9:D26)-B29</f>
        <v>0.44995767549616428</v>
      </c>
      <c r="C30" s="25" t="s">
        <v>61</v>
      </c>
      <c r="D30" s="28">
        <f>(SUMSQ(B27:D27)/18)-B29</f>
        <v>3.4805332239606912E-4</v>
      </c>
      <c r="G30" s="43"/>
    </row>
    <row r="31" spans="1:25" x14ac:dyDescent="0.25">
      <c r="A31" s="25" t="s">
        <v>62</v>
      </c>
      <c r="B31" s="28">
        <f>(SUMSQ(E9:E26)/3)-B29</f>
        <v>0.4327350843183515</v>
      </c>
      <c r="C31" s="25" t="s">
        <v>63</v>
      </c>
      <c r="D31" s="28">
        <f>B30-B31-D30</f>
        <v>1.6874537855416705E-2</v>
      </c>
      <c r="G31" s="43"/>
    </row>
    <row r="34" spans="1:18" ht="18.75" x14ac:dyDescent="0.3">
      <c r="C34" s="81">
        <v>2019</v>
      </c>
    </row>
    <row r="35" spans="1:18" ht="15.75" x14ac:dyDescent="0.25">
      <c r="C35" s="84" t="s">
        <v>129</v>
      </c>
    </row>
    <row r="37" spans="1:18" x14ac:dyDescent="0.25">
      <c r="A37" s="19" t="s">
        <v>13</v>
      </c>
      <c r="B37" s="20">
        <v>2</v>
      </c>
      <c r="C37" s="21"/>
      <c r="D37" s="21"/>
      <c r="E37" s="21"/>
      <c r="F37" s="21"/>
      <c r="G37" s="21"/>
      <c r="H37" s="21"/>
      <c r="M37" s="22"/>
      <c r="N37" s="22"/>
      <c r="O37" s="21"/>
      <c r="P37" s="21"/>
    </row>
    <row r="38" spans="1:18" x14ac:dyDescent="0.25">
      <c r="A38" s="19" t="s">
        <v>14</v>
      </c>
      <c r="B38" s="20">
        <v>9</v>
      </c>
      <c r="C38" s="21" t="s">
        <v>15</v>
      </c>
      <c r="D38" s="21">
        <v>18</v>
      </c>
      <c r="E38" s="21"/>
      <c r="F38" s="21"/>
      <c r="G38" s="21"/>
      <c r="H38" s="21"/>
      <c r="M38" s="22"/>
      <c r="N38" s="22"/>
      <c r="O38" s="21"/>
      <c r="P38" s="21"/>
    </row>
    <row r="39" spans="1:18" x14ac:dyDescent="0.25">
      <c r="A39" s="15" t="s">
        <v>16</v>
      </c>
      <c r="B39" s="23">
        <v>3</v>
      </c>
    </row>
    <row r="40" spans="1:18" s="16" customFormat="1" x14ac:dyDescent="0.25">
      <c r="A40" s="24" t="s">
        <v>0</v>
      </c>
      <c r="B40" s="25" t="s">
        <v>17</v>
      </c>
      <c r="C40" s="25" t="s">
        <v>18</v>
      </c>
      <c r="D40" s="25" t="s">
        <v>19</v>
      </c>
      <c r="E40" s="25" t="s">
        <v>20</v>
      </c>
      <c r="F40" s="25" t="s">
        <v>11</v>
      </c>
      <c r="O40" s="16" t="s">
        <v>21</v>
      </c>
      <c r="Q40" s="15"/>
    </row>
    <row r="41" spans="1:18" s="16" customFormat="1" x14ac:dyDescent="0.25">
      <c r="A41" s="27" t="s">
        <v>22</v>
      </c>
      <c r="B41" s="7">
        <f>'Water foot print'!AB7</f>
        <v>0.22245727141466037</v>
      </c>
      <c r="C41" s="7">
        <f>'Water foot print'!AC7</f>
        <v>0.19811289076928243</v>
      </c>
      <c r="D41" s="7">
        <f>'Water foot print'!AD7</f>
        <v>0.18098787817736142</v>
      </c>
      <c r="E41" s="28">
        <f>SUM(B41:D41)</f>
        <v>0.60155804036130422</v>
      </c>
      <c r="F41" s="28">
        <f>E41/3</f>
        <v>0.2005193467871014</v>
      </c>
      <c r="H41" s="29"/>
      <c r="I41" s="29"/>
      <c r="J41" s="29" t="s">
        <v>23</v>
      </c>
      <c r="K41" s="29"/>
      <c r="L41" s="29"/>
      <c r="M41" s="29"/>
      <c r="N41" s="29"/>
      <c r="O41" s="30">
        <v>1</v>
      </c>
      <c r="P41" s="33">
        <f>SUM(F41:F49)/9</f>
        <v>0.37649234112400348</v>
      </c>
      <c r="Q41" s="31">
        <f>RANK(P41,P$41:P$42,0)</f>
        <v>2</v>
      </c>
    </row>
    <row r="42" spans="1:18" s="16" customFormat="1" x14ac:dyDescent="0.25">
      <c r="A42" s="27" t="s">
        <v>24</v>
      </c>
      <c r="B42" s="7">
        <f>'Water foot print'!AB8</f>
        <v>0.34085731309803374</v>
      </c>
      <c r="C42" s="7">
        <f>'Water foot print'!AC8</f>
        <v>0.36977322911920368</v>
      </c>
      <c r="D42" s="7">
        <f>'Water foot print'!AD8</f>
        <v>0.3811643475517858</v>
      </c>
      <c r="E42" s="28">
        <f t="shared" ref="E42:E58" si="8">SUM(B42:D42)</f>
        <v>1.0917948897690233</v>
      </c>
      <c r="F42" s="28">
        <f t="shared" ref="F42:F55" si="9">E42/3</f>
        <v>0.36393162992300776</v>
      </c>
      <c r="G42" s="28"/>
      <c r="H42" s="25" t="s">
        <v>25</v>
      </c>
      <c r="I42" s="25" t="s">
        <v>26</v>
      </c>
      <c r="J42" s="25" t="s">
        <v>27</v>
      </c>
      <c r="K42" s="25" t="s">
        <v>28</v>
      </c>
      <c r="L42" s="25" t="s">
        <v>29</v>
      </c>
      <c r="M42" s="25" t="s">
        <v>30</v>
      </c>
      <c r="N42" s="32"/>
      <c r="O42" s="30">
        <v>2</v>
      </c>
      <c r="P42" s="33">
        <f>SUM(F50:F58)/9</f>
        <v>0.44026637332672791</v>
      </c>
      <c r="Q42" s="31">
        <f>RANK(P42,P$41:P$42,0)</f>
        <v>1</v>
      </c>
    </row>
    <row r="43" spans="1:18" s="16" customFormat="1" x14ac:dyDescent="0.25">
      <c r="A43" s="27" t="s">
        <v>31</v>
      </c>
      <c r="B43" s="7">
        <f>'Water foot print'!AB9</f>
        <v>0.4296170573883526</v>
      </c>
      <c r="C43" s="7">
        <f>'Water foot print'!AC9</f>
        <v>0.42042360595452777</v>
      </c>
      <c r="D43" s="7">
        <f>'Water foot print'!AD9</f>
        <v>0.40486545737420887</v>
      </c>
      <c r="E43" s="28">
        <f t="shared" si="8"/>
        <v>1.2549061207170893</v>
      </c>
      <c r="F43" s="28">
        <f t="shared" si="9"/>
        <v>0.41830204023902978</v>
      </c>
      <c r="G43" s="28" t="s">
        <v>32</v>
      </c>
      <c r="H43" s="28">
        <f>B39-1</f>
        <v>2</v>
      </c>
      <c r="I43" s="28">
        <f>D62</f>
        <v>3.8968082165702356E-4</v>
      </c>
      <c r="J43" s="28">
        <f>I43/H43</f>
        <v>1.9484041082851178E-4</v>
      </c>
      <c r="K43" s="28">
        <f>J43/$J$16</f>
        <v>0.39257809754137485</v>
      </c>
      <c r="L43" s="28">
        <f>FINV(0.05,H43,$H$16)</f>
        <v>3.275897990672394</v>
      </c>
      <c r="M43" s="28" t="str">
        <f>IF(K43&gt;=L43, "S", "NS")</f>
        <v>NS</v>
      </c>
      <c r="N43" s="21"/>
      <c r="O43" s="25" t="s">
        <v>33</v>
      </c>
      <c r="P43" s="54">
        <f>SQRT(J48/(3*9))</f>
        <v>4.5513845108467177E-3</v>
      </c>
      <c r="Q43" s="15"/>
    </row>
    <row r="44" spans="1:18" s="16" customFormat="1" x14ac:dyDescent="0.25">
      <c r="A44" s="27" t="s">
        <v>34</v>
      </c>
      <c r="B44" s="7">
        <f>'Water foot print'!AB10</f>
        <v>0.3473597062740722</v>
      </c>
      <c r="C44" s="7">
        <f>'Water foot print'!AC10</f>
        <v>0.3401605413772002</v>
      </c>
      <c r="D44" s="7">
        <f>'Water foot print'!AD10</f>
        <v>0.32576221158345636</v>
      </c>
      <c r="E44" s="28">
        <f t="shared" si="8"/>
        <v>1.0132824592347287</v>
      </c>
      <c r="F44" s="28">
        <f t="shared" si="9"/>
        <v>0.33776081974490957</v>
      </c>
      <c r="G44" s="28" t="s">
        <v>35</v>
      </c>
      <c r="H44" s="28">
        <f>D38-1</f>
        <v>17</v>
      </c>
      <c r="I44" s="28">
        <f>B63</f>
        <v>0.5086419126743511</v>
      </c>
      <c r="J44" s="28">
        <f t="shared" ref="J44:J48" si="10">I44/H44</f>
        <v>2.9920112510255947E-2</v>
      </c>
      <c r="K44" s="28">
        <f>J44/$J$16</f>
        <v>60.285136936189069</v>
      </c>
      <c r="L44" s="28">
        <f>FINV(0.05,H44,$H$16)</f>
        <v>1.9332068318040869</v>
      </c>
      <c r="M44" s="34" t="str">
        <f t="shared" ref="M44" si="11">IF(K44&gt;=L44, "S", "NS")</f>
        <v>S</v>
      </c>
      <c r="N44" s="25" t="s">
        <v>36</v>
      </c>
      <c r="O44" s="25" t="s">
        <v>37</v>
      </c>
      <c r="P44" s="54">
        <f>SQRT((2*J48)/(3*9))*L49</f>
        <v>1.3080805372055627E-2</v>
      </c>
      <c r="Q44" s="15"/>
    </row>
    <row r="45" spans="1:18" s="16" customFormat="1" x14ac:dyDescent="0.25">
      <c r="A45" s="27" t="s">
        <v>38</v>
      </c>
      <c r="B45" s="7">
        <f>'Water foot print'!AB11</f>
        <v>0.41970602250650635</v>
      </c>
      <c r="C45" s="7">
        <f>'Water foot print'!AC11</f>
        <v>0.43620101902422931</v>
      </c>
      <c r="D45" s="7">
        <f>'Water foot print'!AD11</f>
        <v>0.40779296946592869</v>
      </c>
      <c r="E45" s="28">
        <f t="shared" si="8"/>
        <v>1.2637000109966645</v>
      </c>
      <c r="F45" s="28">
        <f t="shared" si="9"/>
        <v>0.42123333699888815</v>
      </c>
      <c r="G45" s="28" t="s">
        <v>39</v>
      </c>
      <c r="H45" s="28">
        <f>B37-1</f>
        <v>1</v>
      </c>
      <c r="I45" s="28">
        <f>(SUM(E41:E49)^2+SUM(E50:E58)^2)/27-B61</f>
        <v>5.4906216975819433E-2</v>
      </c>
      <c r="J45" s="28">
        <f t="shared" si="10"/>
        <v>5.4906216975819433E-2</v>
      </c>
      <c r="K45" s="28">
        <f>J45/$J$16</f>
        <v>110.62888910931666</v>
      </c>
      <c r="L45" s="28">
        <f>FINV(0.05,H45,$H$16)</f>
        <v>4.1300177456520188</v>
      </c>
      <c r="M45" s="28" t="str">
        <f>IF(K45&gt;=L45, "S", "NS")</f>
        <v>S</v>
      </c>
      <c r="N45" s="21"/>
      <c r="O45" s="30">
        <v>1</v>
      </c>
      <c r="P45" s="33">
        <f>(F41+F50)/2</f>
        <v>0.20482634393904287</v>
      </c>
      <c r="Q45" s="31">
        <f>RANK(P45,P$45:P$53,0)</f>
        <v>9</v>
      </c>
      <c r="R45" s="35">
        <v>9</v>
      </c>
    </row>
    <row r="46" spans="1:18" s="16" customFormat="1" x14ac:dyDescent="0.25">
      <c r="A46" s="27" t="s">
        <v>40</v>
      </c>
      <c r="B46" s="7">
        <f>'Water foot print'!AB12</f>
        <v>0.51735847549039193</v>
      </c>
      <c r="C46" s="7">
        <f>'Water foot print'!AC12</f>
        <v>0.49738324477647716</v>
      </c>
      <c r="D46" s="7">
        <f>'Water foot print'!AD12</f>
        <v>0.47740801406256245</v>
      </c>
      <c r="E46" s="28">
        <f t="shared" si="8"/>
        <v>1.4921497343294317</v>
      </c>
      <c r="F46" s="28">
        <f t="shared" si="9"/>
        <v>0.49738324477647722</v>
      </c>
      <c r="G46" s="28" t="s">
        <v>41</v>
      </c>
      <c r="H46" s="28">
        <f>B38-1</f>
        <v>8</v>
      </c>
      <c r="I46" s="28">
        <f>((E41+E50)^2+(E42+E51)^2+(E43+E52)^2+(E44+E53)^2+(E45+E54)^2+(E46+E55)^2+(E47+E56)^2+(E48+E57)^2+(E49+E58)^2/6)-B61</f>
        <v>42.512032014590602</v>
      </c>
      <c r="J46" s="28">
        <f t="shared" si="10"/>
        <v>5.3140040018238253</v>
      </c>
      <c r="K46" s="28">
        <f>J46/$J$16</f>
        <v>10707.027215208342</v>
      </c>
      <c r="L46" s="28">
        <f>FINV(0.05,H46,$H$16)</f>
        <v>2.2253399674380931</v>
      </c>
      <c r="M46" s="28" t="str">
        <f>IF(K46&gt;=L46, "S", "NS")</f>
        <v>S</v>
      </c>
      <c r="N46" s="21"/>
      <c r="O46" s="30">
        <v>2</v>
      </c>
      <c r="P46" s="33">
        <f t="shared" ref="P46:P53" si="12">(F42+F51)/2</f>
        <v>0.36956652341635321</v>
      </c>
      <c r="Q46" s="31">
        <f t="shared" ref="Q46:Q53" si="13">RANK(P46,P$45:P$53,0)</f>
        <v>8</v>
      </c>
      <c r="R46" s="37">
        <v>5</v>
      </c>
    </row>
    <row r="47" spans="1:18" s="16" customFormat="1" x14ac:dyDescent="0.25">
      <c r="A47" s="27" t="s">
        <v>42</v>
      </c>
      <c r="B47" s="7">
        <f>'Water foot print'!AB13</f>
        <v>0.38240554012404399</v>
      </c>
      <c r="C47" s="7">
        <f>'Water foot print'!AC13</f>
        <v>0.3757467371865606</v>
      </c>
      <c r="D47" s="7">
        <f>'Water foot print'!AD13</f>
        <v>0.37003919181157485</v>
      </c>
      <c r="E47" s="28">
        <f t="shared" si="8"/>
        <v>1.1281914691221795</v>
      </c>
      <c r="F47" s="28">
        <f t="shared" si="9"/>
        <v>0.3760638230407265</v>
      </c>
      <c r="G47" s="38" t="s">
        <v>43</v>
      </c>
      <c r="H47" s="28">
        <f>H45*H46</f>
        <v>8</v>
      </c>
      <c r="I47" s="28">
        <f>I44-(I45+I46)</f>
        <v>-42.058296318892076</v>
      </c>
      <c r="J47" s="28">
        <f t="shared" si="10"/>
        <v>-5.2572870398615095</v>
      </c>
      <c r="K47" s="39">
        <f>J47/$J$16</f>
        <v>-10592.749910357606</v>
      </c>
      <c r="L47" s="28">
        <f>FINV(0.05,H47,$H$16)</f>
        <v>2.2253399674380931</v>
      </c>
      <c r="M47" s="28" t="str">
        <f t="shared" ref="M47" si="14">IF(K47&gt;=L47, "S", "NS")</f>
        <v>NS</v>
      </c>
      <c r="N47" s="21"/>
      <c r="O47" s="30">
        <v>3</v>
      </c>
      <c r="P47" s="33">
        <f t="shared" si="12"/>
        <v>0.45085271099102808</v>
      </c>
      <c r="Q47" s="31">
        <f t="shared" si="13"/>
        <v>3</v>
      </c>
      <c r="R47" s="37">
        <v>2</v>
      </c>
    </row>
    <row r="48" spans="1:18" s="16" customFormat="1" x14ac:dyDescent="0.25">
      <c r="A48" s="27" t="s">
        <v>44</v>
      </c>
      <c r="B48" s="7">
        <f>'Water foot print'!AB14</f>
        <v>0.42182227221597302</v>
      </c>
      <c r="C48" s="7">
        <f>'Water foot print'!AC14</f>
        <v>0.41212520848687018</v>
      </c>
      <c r="D48" s="7">
        <f>'Water foot print'!AD14</f>
        <v>0.40630697024940848</v>
      </c>
      <c r="E48" s="28">
        <f t="shared" si="8"/>
        <v>1.2402544509522517</v>
      </c>
      <c r="F48" s="28">
        <f t="shared" si="9"/>
        <v>0.41341815031741724</v>
      </c>
      <c r="G48" s="40" t="s">
        <v>45</v>
      </c>
      <c r="H48" s="28">
        <f>((B39-1)*(B37*B38-1))</f>
        <v>34</v>
      </c>
      <c r="I48" s="28">
        <f>D63</f>
        <v>1.9016462686398228E-2</v>
      </c>
      <c r="J48" s="28">
        <f t="shared" si="10"/>
        <v>5.5930772607053615E-4</v>
      </c>
      <c r="O48" s="30">
        <v>4</v>
      </c>
      <c r="P48" s="33">
        <f t="shared" si="12"/>
        <v>0.37022485383963832</v>
      </c>
      <c r="Q48" s="31">
        <f t="shared" si="13"/>
        <v>7</v>
      </c>
      <c r="R48" s="37">
        <v>7</v>
      </c>
    </row>
    <row r="49" spans="1:18" x14ac:dyDescent="0.25">
      <c r="A49" s="27" t="s">
        <v>46</v>
      </c>
      <c r="B49" s="7">
        <f>'Water foot print'!AB15</f>
        <v>0.36822565675315766</v>
      </c>
      <c r="C49" s="7">
        <f>'Water foot print'!AC15</f>
        <v>0.36015495742706111</v>
      </c>
      <c r="D49" s="7">
        <f>'Water foot print'!AD15</f>
        <v>0.35107542068520237</v>
      </c>
      <c r="E49" s="28">
        <f t="shared" si="8"/>
        <v>1.0794560348654212</v>
      </c>
      <c r="F49" s="28">
        <f t="shared" si="9"/>
        <v>0.35981867828847375</v>
      </c>
      <c r="G49" s="39" t="s">
        <v>20</v>
      </c>
      <c r="H49" s="28">
        <f>SUM(H43:H48)-H44</f>
        <v>53</v>
      </c>
      <c r="I49" s="28">
        <f>B62</f>
        <v>0.52804805618240636</v>
      </c>
      <c r="K49" s="28" t="s">
        <v>47</v>
      </c>
      <c r="L49" s="16">
        <f>TINV(0.05,34)</f>
        <v>2.0322445093177191</v>
      </c>
      <c r="O49" s="30">
        <v>5</v>
      </c>
      <c r="P49" s="33">
        <f t="shared" si="12"/>
        <v>0.44103993718111234</v>
      </c>
      <c r="Q49" s="31">
        <f t="shared" si="13"/>
        <v>4</v>
      </c>
      <c r="R49" s="35">
        <v>3</v>
      </c>
    </row>
    <row r="50" spans="1:18" x14ac:dyDescent="0.25">
      <c r="A50" s="27" t="s">
        <v>48</v>
      </c>
      <c r="B50" s="7">
        <f>'Water foot print'!AB16</f>
        <v>0.25697218882122497</v>
      </c>
      <c r="C50" s="7">
        <f>'Water foot print'!AC16</f>
        <v>0.15127419417400412</v>
      </c>
      <c r="D50" s="7">
        <f>'Water foot print'!AD16</f>
        <v>0.21915364027772391</v>
      </c>
      <c r="E50" s="28">
        <f t="shared" si="8"/>
        <v>0.62740002327295297</v>
      </c>
      <c r="F50" s="28">
        <f t="shared" si="9"/>
        <v>0.20913334109098433</v>
      </c>
      <c r="G50" s="42" t="s">
        <v>33</v>
      </c>
      <c r="H50" s="28">
        <f>SQRT(J48/3)</f>
        <v>1.3654153532540153E-2</v>
      </c>
      <c r="O50" s="30">
        <v>6</v>
      </c>
      <c r="P50" s="33">
        <f t="shared" si="12"/>
        <v>0.55760224311085049</v>
      </c>
      <c r="Q50" s="31">
        <f t="shared" si="13"/>
        <v>1</v>
      </c>
      <c r="R50" s="37">
        <v>1</v>
      </c>
    </row>
    <row r="51" spans="1:18" x14ac:dyDescent="0.25">
      <c r="A51" s="27" t="s">
        <v>49</v>
      </c>
      <c r="B51" s="7">
        <f>'Water foot print'!AB17</f>
        <v>0.38452319124285889</v>
      </c>
      <c r="C51" s="7">
        <f>'Water foot print'!AC17</f>
        <v>0.36354919899324839</v>
      </c>
      <c r="D51" s="7">
        <f>'Water foot print'!AD17</f>
        <v>0.37753186049298865</v>
      </c>
      <c r="E51" s="28">
        <f t="shared" si="8"/>
        <v>1.125604250729096</v>
      </c>
      <c r="F51" s="28">
        <f t="shared" si="9"/>
        <v>0.37520141690969866</v>
      </c>
      <c r="G51" s="42" t="s">
        <v>37</v>
      </c>
      <c r="H51" s="28">
        <f>(SQRT((2*J48)/3))*L49</f>
        <v>3.9242416116166884E-2</v>
      </c>
      <c r="O51" s="30">
        <v>7</v>
      </c>
      <c r="P51" s="33">
        <f t="shared" si="12"/>
        <v>0.40574126083065998</v>
      </c>
      <c r="Q51" s="31">
        <f t="shared" si="13"/>
        <v>6</v>
      </c>
      <c r="R51" s="37">
        <v>6</v>
      </c>
    </row>
    <row r="52" spans="1:18" x14ac:dyDescent="0.25">
      <c r="A52" s="27" t="s">
        <v>50</v>
      </c>
      <c r="B52" s="7">
        <f>'Water foot print'!AB18</f>
        <v>0.49727435395946906</v>
      </c>
      <c r="C52" s="7">
        <f>'Water foot print'!AC18</f>
        <v>0.48687112479713707</v>
      </c>
      <c r="D52" s="7">
        <f>'Water foot print'!AD18</f>
        <v>0.46606466647247308</v>
      </c>
      <c r="E52" s="28">
        <f t="shared" si="8"/>
        <v>1.4502101452290792</v>
      </c>
      <c r="F52" s="28">
        <f t="shared" si="9"/>
        <v>0.48340338174302638</v>
      </c>
      <c r="G52" s="42" t="s">
        <v>51</v>
      </c>
      <c r="H52" s="28">
        <f>((SQRT(J48))/F59)*100</f>
        <v>5.7911075166452273</v>
      </c>
      <c r="O52" s="30">
        <v>8</v>
      </c>
      <c r="P52" s="33">
        <f t="shared" si="12"/>
        <v>0.46221700625477474</v>
      </c>
      <c r="Q52" s="31">
        <f t="shared" si="13"/>
        <v>2</v>
      </c>
      <c r="R52" s="35">
        <v>4</v>
      </c>
    </row>
    <row r="53" spans="1:18" x14ac:dyDescent="0.25">
      <c r="A53" s="27" t="s">
        <v>52</v>
      </c>
      <c r="B53" s="7">
        <f>'Water foot print'!AB19</f>
        <v>0.3951720286929255</v>
      </c>
      <c r="C53" s="7">
        <f>'Water foot print'!AC19</f>
        <v>0.38550749538250079</v>
      </c>
      <c r="D53" s="7">
        <f>'Water foot print'!AD19</f>
        <v>0.42738713972767489</v>
      </c>
      <c r="E53" s="28">
        <f t="shared" si="8"/>
        <v>1.2080666638031012</v>
      </c>
      <c r="F53" s="28">
        <f t="shared" si="9"/>
        <v>0.40268888793436708</v>
      </c>
      <c r="O53" s="30">
        <v>9</v>
      </c>
      <c r="P53" s="33">
        <f t="shared" si="12"/>
        <v>0.41334333546483115</v>
      </c>
      <c r="Q53" s="31">
        <f t="shared" si="13"/>
        <v>5</v>
      </c>
      <c r="R53" s="37">
        <v>8</v>
      </c>
    </row>
    <row r="54" spans="1:18" x14ac:dyDescent="0.25">
      <c r="A54" s="27" t="s">
        <v>53</v>
      </c>
      <c r="B54" s="7">
        <f>'Water foot print'!AB20</f>
        <v>0.404997558918823</v>
      </c>
      <c r="C54" s="7">
        <f>'Water foot print'!AC20</f>
        <v>0.50596955306022817</v>
      </c>
      <c r="D54" s="7">
        <f>'Water foot print'!AD20</f>
        <v>0.47157250011095825</v>
      </c>
      <c r="E54" s="28">
        <f t="shared" si="8"/>
        <v>1.3825396120900095</v>
      </c>
      <c r="F54" s="28">
        <f t="shared" si="9"/>
        <v>0.46084653736333653</v>
      </c>
      <c r="O54" s="25" t="s">
        <v>33</v>
      </c>
      <c r="P54" s="54">
        <f>SQRT(J48/(3*2))</f>
        <v>9.6549445542213948E-3</v>
      </c>
      <c r="Q54" s="31"/>
    </row>
    <row r="55" spans="1:18" x14ac:dyDescent="0.25">
      <c r="A55" s="27" t="s">
        <v>55</v>
      </c>
      <c r="B55" s="7">
        <f>'Water foot print'!AB21</f>
        <v>0.59904766781014795</v>
      </c>
      <c r="C55" s="7">
        <f>'Water foot print'!AC21</f>
        <v>0.65024832317853676</v>
      </c>
      <c r="D55" s="7">
        <f>'Water foot print'!AD21</f>
        <v>0.60416773334698692</v>
      </c>
      <c r="E55" s="28">
        <f t="shared" si="8"/>
        <v>1.8534637243356715</v>
      </c>
      <c r="F55" s="28">
        <f t="shared" si="9"/>
        <v>0.61782124144522388</v>
      </c>
      <c r="G55" s="43"/>
      <c r="N55" s="25" t="s">
        <v>41</v>
      </c>
      <c r="O55" s="25" t="s">
        <v>37</v>
      </c>
      <c r="P55" s="54">
        <f>SQRT((2*J48)/(3*2))*L49</f>
        <v>2.7748578545885864E-2</v>
      </c>
      <c r="Q55" s="31"/>
    </row>
    <row r="56" spans="1:18" x14ac:dyDescent="0.25">
      <c r="A56" s="27" t="s">
        <v>56</v>
      </c>
      <c r="B56" s="7">
        <f>'Water foot print'!AB22</f>
        <v>0.44006316473921325</v>
      </c>
      <c r="C56" s="7">
        <f>'Water foot print'!AC22</f>
        <v>0.4389020482095583</v>
      </c>
      <c r="D56" s="7">
        <f>'Water foot print'!AD22</f>
        <v>0.4272908829130091</v>
      </c>
      <c r="E56" s="28">
        <f t="shared" si="8"/>
        <v>1.3062560958617806</v>
      </c>
      <c r="F56" s="28">
        <f>E56/3</f>
        <v>0.43541869862059351</v>
      </c>
      <c r="G56" s="43"/>
      <c r="Q56" s="31"/>
    </row>
    <row r="57" spans="1:18" x14ac:dyDescent="0.25">
      <c r="A57" s="27" t="s">
        <v>57</v>
      </c>
      <c r="B57" s="7">
        <f>'Water foot print'!AB23</f>
        <v>0.49802737324046564</v>
      </c>
      <c r="C57" s="7">
        <f>'Water foot print'!AC23</f>
        <v>0.50898641079343432</v>
      </c>
      <c r="D57" s="7">
        <f>'Water foot print'!AD23</f>
        <v>0.52603380254249676</v>
      </c>
      <c r="E57" s="28">
        <f t="shared" si="8"/>
        <v>1.5330475865763966</v>
      </c>
      <c r="F57" s="28">
        <f t="shared" ref="F57:F58" si="15">E57/3</f>
        <v>0.51101586219213224</v>
      </c>
      <c r="G57" s="43"/>
    </row>
    <row r="58" spans="1:18" x14ac:dyDescent="0.25">
      <c r="A58" s="27" t="s">
        <v>58</v>
      </c>
      <c r="B58" s="7">
        <f>'Water foot print'!AB24</f>
        <v>0.45298344267416429</v>
      </c>
      <c r="C58" s="7">
        <f>'Water foot print'!AC24</f>
        <v>0.48943038633760283</v>
      </c>
      <c r="D58" s="7">
        <f>'Water foot print'!AD24</f>
        <v>0.45819014891179849</v>
      </c>
      <c r="E58" s="28">
        <f t="shared" si="8"/>
        <v>1.4006039779235657</v>
      </c>
      <c r="F58" s="28">
        <f t="shared" si="15"/>
        <v>0.46686799264118856</v>
      </c>
      <c r="G58" s="43"/>
    </row>
    <row r="59" spans="1:18" x14ac:dyDescent="0.25">
      <c r="A59" s="25" t="s">
        <v>20</v>
      </c>
      <c r="B59" s="28">
        <f>SUM(B41:B58)</f>
        <v>7.378870285364485</v>
      </c>
      <c r="C59" s="28">
        <f t="shared" ref="C59:D59" si="16">SUM(C41:C58)</f>
        <v>7.3908201690476627</v>
      </c>
      <c r="D59" s="28">
        <f t="shared" si="16"/>
        <v>7.2827948357575991</v>
      </c>
      <c r="E59" s="28">
        <f>SUM(E41:E58)</f>
        <v>22.052485290169749</v>
      </c>
      <c r="F59" s="28">
        <f>AVERAGE(B41:D58)</f>
        <v>0.40837935722536556</v>
      </c>
      <c r="G59" s="43"/>
    </row>
    <row r="60" spans="1:18" x14ac:dyDescent="0.25">
      <c r="A60" s="25" t="s">
        <v>11</v>
      </c>
      <c r="B60" s="28">
        <f>B59/18</f>
        <v>0.40993723807580473</v>
      </c>
      <c r="C60" s="28">
        <f>C59/18</f>
        <v>0.41060112050264791</v>
      </c>
      <c r="D60" s="28">
        <f>D59/18</f>
        <v>0.40459971309764442</v>
      </c>
      <c r="G60" s="43"/>
    </row>
    <row r="61" spans="1:18" x14ac:dyDescent="0.25">
      <c r="A61" s="25" t="s">
        <v>59</v>
      </c>
      <c r="B61" s="28">
        <f>(E59*E59)/54</f>
        <v>9.0057797680213554</v>
      </c>
      <c r="C61" s="28"/>
      <c r="D61" s="28"/>
      <c r="G61" s="43"/>
    </row>
    <row r="62" spans="1:18" x14ac:dyDescent="0.25">
      <c r="A62" s="25" t="s">
        <v>60</v>
      </c>
      <c r="B62" s="28">
        <f>SUMSQ(B41:D58)-B61</f>
        <v>0.52804805618240636</v>
      </c>
      <c r="C62" s="25" t="s">
        <v>61</v>
      </c>
      <c r="D62" s="28">
        <f>(SUMSQ(B59:D59)/18)-B61</f>
        <v>3.8968082165702356E-4</v>
      </c>
      <c r="G62" s="43"/>
    </row>
    <row r="63" spans="1:18" x14ac:dyDescent="0.25">
      <c r="A63" s="25" t="s">
        <v>62</v>
      </c>
      <c r="B63" s="28">
        <f>(SUMSQ(E41:E58)/3)-B61</f>
        <v>0.5086419126743511</v>
      </c>
      <c r="C63" s="25" t="s">
        <v>63</v>
      </c>
      <c r="D63" s="28">
        <f>B62-B63-D62</f>
        <v>1.9016462686398228E-2</v>
      </c>
      <c r="G63" s="43"/>
    </row>
    <row r="64" spans="1:18" x14ac:dyDescent="0.25">
      <c r="A64" s="32"/>
      <c r="B64" s="21"/>
      <c r="C64" s="32"/>
      <c r="D64" s="21"/>
      <c r="G64" s="43"/>
    </row>
    <row r="65" spans="1:18" x14ac:dyDescent="0.25">
      <c r="A65" s="32"/>
      <c r="B65" s="21"/>
      <c r="C65" s="32"/>
      <c r="D65" s="21"/>
      <c r="G65" s="43"/>
    </row>
    <row r="66" spans="1:18" x14ac:dyDescent="0.25">
      <c r="A66" s="32"/>
      <c r="B66" s="21"/>
      <c r="C66" s="32"/>
      <c r="D66" s="21"/>
      <c r="G66" s="43"/>
    </row>
    <row r="68" spans="1:18" x14ac:dyDescent="0.25">
      <c r="C68" s="83">
        <v>2019</v>
      </c>
    </row>
    <row r="69" spans="1:18" ht="15.75" x14ac:dyDescent="0.25">
      <c r="C69" s="84" t="s">
        <v>126</v>
      </c>
    </row>
    <row r="71" spans="1:18" x14ac:dyDescent="0.25">
      <c r="A71" s="19" t="s">
        <v>13</v>
      </c>
      <c r="B71" s="20">
        <v>2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22"/>
      <c r="O71" s="21"/>
      <c r="P71" s="21"/>
    </row>
    <row r="72" spans="1:18" x14ac:dyDescent="0.25">
      <c r="A72" s="19" t="s">
        <v>14</v>
      </c>
      <c r="B72" s="20">
        <v>9</v>
      </c>
      <c r="C72" s="21" t="s">
        <v>15</v>
      </c>
      <c r="D72" s="21">
        <v>18</v>
      </c>
      <c r="E72" s="21"/>
      <c r="F72" s="21"/>
      <c r="G72" s="21"/>
      <c r="H72" s="21"/>
      <c r="I72" s="21"/>
      <c r="J72" s="21"/>
      <c r="K72" s="21"/>
      <c r="L72" s="21"/>
      <c r="M72" s="22"/>
      <c r="N72" s="22"/>
      <c r="O72" s="21"/>
      <c r="P72" s="21"/>
    </row>
    <row r="73" spans="1:18" x14ac:dyDescent="0.25">
      <c r="A73" s="15" t="s">
        <v>16</v>
      </c>
      <c r="B73" s="23">
        <v>3</v>
      </c>
    </row>
    <row r="74" spans="1:18" x14ac:dyDescent="0.25">
      <c r="A74" s="24" t="s">
        <v>0</v>
      </c>
      <c r="B74" s="25" t="s">
        <v>17</v>
      </c>
      <c r="C74" s="25" t="s">
        <v>18</v>
      </c>
      <c r="D74" s="25" t="s">
        <v>19</v>
      </c>
      <c r="E74" s="25" t="s">
        <v>20</v>
      </c>
      <c r="F74" s="25" t="s">
        <v>11</v>
      </c>
      <c r="O74" s="16" t="s">
        <v>21</v>
      </c>
    </row>
    <row r="75" spans="1:18" x14ac:dyDescent="0.25">
      <c r="A75" s="27" t="s">
        <v>22</v>
      </c>
      <c r="B75" s="7">
        <f>'Water foot print'!AO7</f>
        <v>0.21533154465312379</v>
      </c>
      <c r="C75" s="7">
        <f>'Water foot print'!AP7</f>
        <v>0.19213799051315222</v>
      </c>
      <c r="D75" s="7">
        <f>'Water foot print'!AQ7</f>
        <v>0.17582358392434988</v>
      </c>
      <c r="E75" s="28">
        <f t="shared" ref="E75:E92" si="17">SUM(B75:D75)</f>
        <v>0.58329311909062587</v>
      </c>
      <c r="F75" s="28">
        <f>E75/3</f>
        <v>0.19443103969687528</v>
      </c>
      <c r="H75" s="29"/>
      <c r="I75" s="29"/>
      <c r="J75" s="29" t="s">
        <v>23</v>
      </c>
      <c r="K75" s="29"/>
      <c r="L75" s="29"/>
      <c r="M75" s="29"/>
      <c r="N75" s="29"/>
      <c r="O75" s="30">
        <v>1</v>
      </c>
      <c r="P75" s="33">
        <f>SUM(F75:F83)/9</f>
        <v>0.36058334004842441</v>
      </c>
      <c r="Q75" s="31" t="e">
        <f>RANK(P75,P$9:P$10,0)</f>
        <v>#N/A</v>
      </c>
    </row>
    <row r="76" spans="1:18" x14ac:dyDescent="0.25">
      <c r="A76" s="27" t="s">
        <v>24</v>
      </c>
      <c r="B76" s="7">
        <f>'Water foot print'!AO8</f>
        <v>0.32755893831410354</v>
      </c>
      <c r="C76" s="7">
        <f>'Water foot print'!AP8</f>
        <v>0.35542543164818413</v>
      </c>
      <c r="D76" s="7">
        <f>'Water foot print'!AQ8</f>
        <v>0.36654771963882937</v>
      </c>
      <c r="E76" s="28">
        <f t="shared" si="17"/>
        <v>1.0495320896011171</v>
      </c>
      <c r="F76" s="28">
        <f t="shared" ref="F76:F89" si="18">E76/3</f>
        <v>0.34984402986703905</v>
      </c>
      <c r="G76" s="28"/>
      <c r="H76" s="25" t="s">
        <v>25</v>
      </c>
      <c r="I76" s="25" t="s">
        <v>26</v>
      </c>
      <c r="J76" s="25" t="s">
        <v>27</v>
      </c>
      <c r="K76" s="25" t="s">
        <v>28</v>
      </c>
      <c r="L76" s="25" t="s">
        <v>29</v>
      </c>
      <c r="M76" s="25" t="s">
        <v>30</v>
      </c>
      <c r="N76" s="32"/>
      <c r="O76" s="30">
        <v>2</v>
      </c>
      <c r="P76" s="33">
        <f>SUM(F84:F92)/9</f>
        <v>0.41599214582982369</v>
      </c>
      <c r="Q76" s="31" t="e">
        <f>RANK(P76,P$9:P$10,0)</f>
        <v>#N/A</v>
      </c>
    </row>
    <row r="77" spans="1:18" x14ac:dyDescent="0.25">
      <c r="A77" s="27" t="s">
        <v>31</v>
      </c>
      <c r="B77" s="7">
        <f>'Water foot print'!AO9</f>
        <v>0.4127906722854211</v>
      </c>
      <c r="C77" s="7">
        <f>'Water foot print'!AP9</f>
        <v>0.40361822788883078</v>
      </c>
      <c r="D77" s="7">
        <f>'Water foot print'!AQ9</f>
        <v>0.38856708208998891</v>
      </c>
      <c r="E77" s="28">
        <f t="shared" si="17"/>
        <v>1.2049759822642407</v>
      </c>
      <c r="F77" s="28">
        <f t="shared" si="18"/>
        <v>0.40165866075474693</v>
      </c>
      <c r="G77" s="28" t="s">
        <v>32</v>
      </c>
      <c r="H77" s="28">
        <f>B73-1</f>
        <v>2</v>
      </c>
      <c r="I77" s="28">
        <f>D96</f>
        <v>3.4937427273362687E-4</v>
      </c>
      <c r="J77" s="28">
        <f>I77/H77</f>
        <v>1.7468713636681343E-4</v>
      </c>
      <c r="K77" s="28">
        <f>J77/$J$16</f>
        <v>0.35197186953271903</v>
      </c>
      <c r="L77" s="28">
        <f>FINV(0.05,H77,$H$16)</f>
        <v>3.275897990672394</v>
      </c>
      <c r="M77" s="28" t="str">
        <f>IF(K77&gt;=L77, "S", "NS")</f>
        <v>NS</v>
      </c>
      <c r="N77" s="21"/>
      <c r="O77" s="25" t="s">
        <v>33</v>
      </c>
      <c r="P77" s="54">
        <f>SQRT(J82/(3*9))</f>
        <v>4.3080457386663624E-3</v>
      </c>
    </row>
    <row r="78" spans="1:18" x14ac:dyDescent="0.25">
      <c r="A78" s="27" t="s">
        <v>34</v>
      </c>
      <c r="B78" s="7">
        <f>'Water foot print'!AO10</f>
        <v>0.3331379659030162</v>
      </c>
      <c r="C78" s="7">
        <f>'Water foot print'!AP10</f>
        <v>0.32629004871077072</v>
      </c>
      <c r="D78" s="7">
        <f>'Water foot print'!AQ10</f>
        <v>0.31252677111006066</v>
      </c>
      <c r="E78" s="28">
        <f t="shared" si="17"/>
        <v>0.97195478572384764</v>
      </c>
      <c r="F78" s="28">
        <f t="shared" si="18"/>
        <v>0.32398492857461586</v>
      </c>
      <c r="G78" s="28" t="s">
        <v>35</v>
      </c>
      <c r="H78" s="28">
        <f>D72-1</f>
        <v>17</v>
      </c>
      <c r="I78" s="28">
        <f>B97</f>
        <v>0.43517943583476004</v>
      </c>
      <c r="J78" s="28">
        <f t="shared" ref="J78:J82" si="19">I78/H78</f>
        <v>2.559879034322118E-2</v>
      </c>
      <c r="K78" s="28">
        <f>J78/$J$16</f>
        <v>51.578234564221631</v>
      </c>
      <c r="L78" s="28">
        <f>FINV(0.05,H78,$H$16)</f>
        <v>1.9332068318040869</v>
      </c>
      <c r="M78" s="34" t="str">
        <f t="shared" ref="M78" si="20">IF(K78&gt;=L78, "S", "NS")</f>
        <v>S</v>
      </c>
      <c r="N78" s="25" t="s">
        <v>36</v>
      </c>
      <c r="O78" s="25" t="s">
        <v>37</v>
      </c>
      <c r="P78" s="54">
        <f>SQRT((2*J82)/(3*9))*L83</f>
        <v>1.2381442988855434E-2</v>
      </c>
    </row>
    <row r="79" spans="1:18" x14ac:dyDescent="0.25">
      <c r="A79" s="27" t="s">
        <v>38</v>
      </c>
      <c r="B79" s="7">
        <f>'Water foot print'!AO11</f>
        <v>0.40238780103262767</v>
      </c>
      <c r="C79" s="7">
        <f>'Water foot print'!AP11</f>
        <v>0.41829930214525718</v>
      </c>
      <c r="D79" s="7">
        <f>'Water foot print'!AQ11</f>
        <v>0.39116432387375444</v>
      </c>
      <c r="E79" s="28">
        <f t="shared" si="17"/>
        <v>1.2118514270516392</v>
      </c>
      <c r="F79" s="28">
        <f t="shared" si="18"/>
        <v>0.40395047568387971</v>
      </c>
      <c r="G79" s="28" t="s">
        <v>39</v>
      </c>
      <c r="H79" s="28">
        <f>B71-1</f>
        <v>1</v>
      </c>
      <c r="I79" s="28">
        <f>(SUM(E75:E83)^2+SUM(E84:E92)^2)/27-B95</f>
        <v>4.1446832734630235E-2</v>
      </c>
      <c r="J79" s="28">
        <f t="shared" si="19"/>
        <v>4.1446832734630235E-2</v>
      </c>
      <c r="K79" s="28">
        <f>J79/$J$16</f>
        <v>83.509979654054888</v>
      </c>
      <c r="L79" s="28">
        <f>FINV(0.05,H79,$H$16)</f>
        <v>4.1300177456520188</v>
      </c>
      <c r="M79" s="28" t="str">
        <f>IF(K79&gt;=L79, "S", "NS")</f>
        <v>S</v>
      </c>
      <c r="N79" s="21"/>
      <c r="O79" s="30">
        <v>1</v>
      </c>
      <c r="P79" s="33">
        <f>(F75+F84)/2</f>
        <v>0.1980642737585378</v>
      </c>
      <c r="Q79" s="31" t="e">
        <f>RANK(P79,P$13:P$21,0)</f>
        <v>#N/A</v>
      </c>
      <c r="R79" s="35">
        <v>1</v>
      </c>
    </row>
    <row r="80" spans="1:18" x14ac:dyDescent="0.25">
      <c r="A80" s="27" t="s">
        <v>40</v>
      </c>
      <c r="B80" s="7">
        <f>'Water foot print'!AO12</f>
        <v>0.49346189811905022</v>
      </c>
      <c r="C80" s="7">
        <f>'Water foot print'!AP12</f>
        <v>0.47451858727308194</v>
      </c>
      <c r="D80" s="7">
        <f>'Water foot print'!AQ12</f>
        <v>0.45552697357797078</v>
      </c>
      <c r="E80" s="28">
        <f t="shared" si="17"/>
        <v>1.4235074589701029</v>
      </c>
      <c r="F80" s="28">
        <f t="shared" si="18"/>
        <v>0.47450248632336761</v>
      </c>
      <c r="G80" s="28" t="s">
        <v>41</v>
      </c>
      <c r="H80" s="28">
        <f>B72-1</f>
        <v>8</v>
      </c>
      <c r="I80" s="28">
        <f>((E75+E84)^2+(E76+E85)^2+(E77+E86)^2+(E78+E87)^2+(E79+E88)^2+(E80+E89)^2+(E81+E90)^2+(E82+E91)^2+(E83+E92)^2/6)-B95</f>
        <v>38.425837260672992</v>
      </c>
      <c r="J80" s="28">
        <f t="shared" si="19"/>
        <v>4.803229657584124</v>
      </c>
      <c r="K80" s="28">
        <f>J80/$J$16</f>
        <v>9677.8833149162656</v>
      </c>
      <c r="L80" s="28">
        <f>FINV(0.05,H80,$H$16)</f>
        <v>2.2253399674380931</v>
      </c>
      <c r="M80" s="28" t="str">
        <f>IF(K80&gt;=L80, "S", "NS")</f>
        <v>S</v>
      </c>
      <c r="N80" s="21"/>
      <c r="O80" s="30">
        <v>2</v>
      </c>
      <c r="P80" s="33">
        <f t="shared" ref="P80:P87" si="21">(F76+F85)/2</f>
        <v>0.35354906818824172</v>
      </c>
      <c r="Q80" s="31" t="e">
        <f t="shared" ref="Q80:Q87" si="22">RANK(P80,P$13:P$21,0)</f>
        <v>#N/A</v>
      </c>
      <c r="R80" s="37">
        <v>2</v>
      </c>
    </row>
    <row r="81" spans="1:18" x14ac:dyDescent="0.25">
      <c r="A81" s="27" t="s">
        <v>42</v>
      </c>
      <c r="B81" s="7">
        <f>'Water foot print'!AO13</f>
        <v>0.36555250017372654</v>
      </c>
      <c r="C81" s="7">
        <f>'Water foot print'!AP13</f>
        <v>0.35906005022486603</v>
      </c>
      <c r="D81" s="7">
        <f>'Water foot print'!AQ13</f>
        <v>0.35382791501016886</v>
      </c>
      <c r="E81" s="28">
        <f t="shared" si="17"/>
        <v>1.0784404654087614</v>
      </c>
      <c r="F81" s="28">
        <f t="shared" si="18"/>
        <v>0.35948015513625381</v>
      </c>
      <c r="G81" s="38" t="s">
        <v>43</v>
      </c>
      <c r="H81" s="28">
        <f>H79*H80</f>
        <v>8</v>
      </c>
      <c r="I81" s="28">
        <f>I78-(I79+I80)</f>
        <v>-38.032104657572859</v>
      </c>
      <c r="J81" s="28">
        <f t="shared" si="19"/>
        <v>-4.7540130821966073</v>
      </c>
      <c r="K81" s="39">
        <f>J81/$J$16</f>
        <v>-9578.7183139240515</v>
      </c>
      <c r="L81" s="28">
        <f>FINV(0.05,H81,$H$16)</f>
        <v>2.2253399674380931</v>
      </c>
      <c r="M81" s="28" t="str">
        <f t="shared" ref="M81" si="23">IF(K81&gt;=L81, "S", "NS")</f>
        <v>NS</v>
      </c>
      <c r="N81" s="21"/>
      <c r="O81" s="30">
        <v>3</v>
      </c>
      <c r="P81" s="33">
        <f t="shared" si="21"/>
        <v>0.43064242190809743</v>
      </c>
      <c r="Q81" s="31" t="e">
        <f t="shared" si="22"/>
        <v>#N/A</v>
      </c>
      <c r="R81" s="37">
        <v>3</v>
      </c>
    </row>
    <row r="82" spans="1:18" x14ac:dyDescent="0.25">
      <c r="A82" s="27" t="s">
        <v>44</v>
      </c>
      <c r="B82" s="7">
        <f>'Water foot print'!AO14</f>
        <v>0.40279235835773658</v>
      </c>
      <c r="C82" s="7">
        <f>'Water foot print'!AP14</f>
        <v>0.39361277445109782</v>
      </c>
      <c r="D82" s="7">
        <f>'Water foot print'!AQ14</f>
        <v>0.38819762067075159</v>
      </c>
      <c r="E82" s="28">
        <f t="shared" si="17"/>
        <v>1.184602753479586</v>
      </c>
      <c r="F82" s="28">
        <f t="shared" si="18"/>
        <v>0.39486758449319531</v>
      </c>
      <c r="G82" s="40" t="s">
        <v>45</v>
      </c>
      <c r="H82" s="28">
        <f>((B73-1)*(B71*B72-1))</f>
        <v>34</v>
      </c>
      <c r="I82" s="28">
        <f>D97</f>
        <v>1.7037398923353209E-2</v>
      </c>
      <c r="J82" s="28">
        <f t="shared" si="19"/>
        <v>5.010999683339179E-4</v>
      </c>
      <c r="O82" s="30">
        <v>4</v>
      </c>
      <c r="P82" s="33">
        <f t="shared" si="21"/>
        <v>0.35290143468586277</v>
      </c>
      <c r="Q82" s="31" t="e">
        <f t="shared" si="22"/>
        <v>#N/A</v>
      </c>
      <c r="R82" s="37">
        <v>4</v>
      </c>
    </row>
    <row r="83" spans="1:18" x14ac:dyDescent="0.25">
      <c r="A83" s="27" t="s">
        <v>46</v>
      </c>
      <c r="B83" s="7">
        <f>'Water foot print'!AO15</f>
        <v>0.35041904980780419</v>
      </c>
      <c r="C83" s="7">
        <f>'Water foot print'!AP15</f>
        <v>0.34284953929581108</v>
      </c>
      <c r="D83" s="7">
        <f>'Water foot print'!AQ15</f>
        <v>0.33432351061392329</v>
      </c>
      <c r="E83" s="28">
        <f t="shared" si="17"/>
        <v>1.0275920997175385</v>
      </c>
      <c r="F83" s="28">
        <f t="shared" si="18"/>
        <v>0.34253069990584617</v>
      </c>
      <c r="G83" s="39" t="s">
        <v>20</v>
      </c>
      <c r="H83" s="28">
        <f>SUM(H77:H82)-H78</f>
        <v>53</v>
      </c>
      <c r="I83" s="28">
        <f>B96</f>
        <v>0.45256620903084688</v>
      </c>
      <c r="K83" s="28" t="s">
        <v>47</v>
      </c>
      <c r="L83" s="16">
        <f>TINV(0.05,34)</f>
        <v>2.0322445093177191</v>
      </c>
      <c r="O83" s="30">
        <v>5</v>
      </c>
      <c r="P83" s="33">
        <f t="shared" si="21"/>
        <v>0.4199677611977426</v>
      </c>
      <c r="Q83" s="31" t="e">
        <f t="shared" si="22"/>
        <v>#N/A</v>
      </c>
      <c r="R83" s="35">
        <v>5</v>
      </c>
    </row>
    <row r="84" spans="1:18" x14ac:dyDescent="0.25">
      <c r="A84" s="27" t="s">
        <v>48</v>
      </c>
      <c r="B84" s="7">
        <f>'Water foot print'!AO16</f>
        <v>0.24693984478569245</v>
      </c>
      <c r="C84" s="7">
        <f>'Water foot print'!AP16</f>
        <v>0.1469822613863539</v>
      </c>
      <c r="D84" s="7">
        <f>'Water foot print'!AQ16</f>
        <v>0.21117041728855462</v>
      </c>
      <c r="E84" s="28">
        <f t="shared" si="17"/>
        <v>0.60509252346060105</v>
      </c>
      <c r="F84" s="28">
        <f t="shared" si="18"/>
        <v>0.20169750782020035</v>
      </c>
      <c r="G84" s="42" t="s">
        <v>33</v>
      </c>
      <c r="H84" s="28">
        <f>SQRT(J82/3)</f>
        <v>1.2924137215999087E-2</v>
      </c>
      <c r="O84" s="30">
        <v>6</v>
      </c>
      <c r="P84" s="33">
        <f t="shared" si="21"/>
        <v>0.52686755967599697</v>
      </c>
      <c r="Q84" s="31" t="e">
        <f t="shared" si="22"/>
        <v>#N/A</v>
      </c>
      <c r="R84" s="37">
        <v>8</v>
      </c>
    </row>
    <row r="85" spans="1:18" x14ac:dyDescent="0.25">
      <c r="A85" s="27" t="s">
        <v>49</v>
      </c>
      <c r="B85" s="7">
        <f>'Water foot print'!AO17</f>
        <v>0.36618145728227608</v>
      </c>
      <c r="C85" s="7">
        <f>'Water foot print'!AP17</f>
        <v>0.34627900321168498</v>
      </c>
      <c r="D85" s="7">
        <f>'Water foot print'!AQ17</f>
        <v>0.35930185903437201</v>
      </c>
      <c r="E85" s="28">
        <f t="shared" si="17"/>
        <v>1.071762319528333</v>
      </c>
      <c r="F85" s="28">
        <f t="shared" si="18"/>
        <v>0.35725410650944434</v>
      </c>
      <c r="G85" s="42" t="s">
        <v>37</v>
      </c>
      <c r="H85" s="28">
        <f>(SQRT((2*J82)/3))*L83</f>
        <v>3.7144328966566297E-2</v>
      </c>
      <c r="O85" s="30">
        <v>7</v>
      </c>
      <c r="P85" s="33">
        <f t="shared" si="21"/>
        <v>0.38521141644236456</v>
      </c>
      <c r="Q85" s="31" t="e">
        <f t="shared" si="22"/>
        <v>#N/A</v>
      </c>
      <c r="R85" s="37">
        <v>6</v>
      </c>
    </row>
    <row r="86" spans="1:18" x14ac:dyDescent="0.25">
      <c r="A86" s="27" t="s">
        <v>50</v>
      </c>
      <c r="B86" s="7">
        <f>'Water foot print'!AO18</f>
        <v>0.4727105530839335</v>
      </c>
      <c r="C86" s="7">
        <f>'Water foot print'!AP18</f>
        <v>0.46305397294828865</v>
      </c>
      <c r="D86" s="7">
        <f>'Water foot print'!AQ18</f>
        <v>0.44311402315212162</v>
      </c>
      <c r="E86" s="28">
        <f t="shared" si="17"/>
        <v>1.3788785491843438</v>
      </c>
      <c r="F86" s="28">
        <f t="shared" si="18"/>
        <v>0.45962618306144792</v>
      </c>
      <c r="G86" s="42" t="s">
        <v>51</v>
      </c>
      <c r="H86" s="28">
        <f>((SQRT(J82))/F93)*100</f>
        <v>5.7651220542420702</v>
      </c>
      <c r="O86" s="30">
        <v>8</v>
      </c>
      <c r="P86" s="33">
        <f t="shared" si="21"/>
        <v>0.43780202429808218</v>
      </c>
      <c r="Q86" s="31" t="e">
        <f t="shared" si="22"/>
        <v>#N/A</v>
      </c>
      <c r="R86" s="35">
        <v>7</v>
      </c>
    </row>
    <row r="87" spans="1:18" x14ac:dyDescent="0.25">
      <c r="A87" s="27" t="s">
        <v>52</v>
      </c>
      <c r="B87" s="7">
        <f>'Water foot print'!AO19</f>
        <v>0.37465683140550032</v>
      </c>
      <c r="C87" s="7">
        <f>'Water foot print'!AP19</f>
        <v>0.36550167530354777</v>
      </c>
      <c r="D87" s="7">
        <f>'Water foot print'!AQ19</f>
        <v>0.405295315682281</v>
      </c>
      <c r="E87" s="28">
        <f t="shared" si="17"/>
        <v>1.1454538223913291</v>
      </c>
      <c r="F87" s="28">
        <f t="shared" si="18"/>
        <v>0.38181794079710968</v>
      </c>
      <c r="K87" s="16" t="s">
        <v>104</v>
      </c>
      <c r="O87" s="30">
        <v>9</v>
      </c>
      <c r="P87" s="33">
        <f t="shared" si="21"/>
        <v>0.38958372629719018</v>
      </c>
      <c r="Q87" s="31" t="e">
        <f t="shared" si="22"/>
        <v>#N/A</v>
      </c>
      <c r="R87" s="37">
        <v>9</v>
      </c>
    </row>
    <row r="88" spans="1:18" x14ac:dyDescent="0.25">
      <c r="A88" s="27" t="s">
        <v>53</v>
      </c>
      <c r="B88" s="7">
        <f>'Water foot print'!AO20</f>
        <v>0.38324418526063742</v>
      </c>
      <c r="C88" s="7">
        <f>'Water foot print'!AP20</f>
        <v>0.47850821180105918</v>
      </c>
      <c r="D88" s="7">
        <f>'Water foot print'!AQ20</f>
        <v>0.44620274307311997</v>
      </c>
      <c r="E88" s="28">
        <f t="shared" si="17"/>
        <v>1.3079551401348166</v>
      </c>
      <c r="F88" s="28">
        <f t="shared" si="18"/>
        <v>0.43598504671160554</v>
      </c>
      <c r="O88" s="25" t="s">
        <v>33</v>
      </c>
      <c r="P88" s="54">
        <f>SQRT(J82/(3*2))</f>
        <v>9.1387450664183814E-3</v>
      </c>
      <c r="Q88" s="31"/>
    </row>
    <row r="89" spans="1:18" x14ac:dyDescent="0.25">
      <c r="A89" s="27" t="s">
        <v>55</v>
      </c>
      <c r="B89" s="7">
        <f>'Water foot print'!AO21</f>
        <v>0.56174723546122596</v>
      </c>
      <c r="C89" s="7">
        <f>'Water foot print'!AP21</f>
        <v>0.60965133906013136</v>
      </c>
      <c r="D89" s="7">
        <f>'Water foot print'!AQ21</f>
        <v>0.56629932456452181</v>
      </c>
      <c r="E89" s="28">
        <f t="shared" si="17"/>
        <v>1.7376978990858791</v>
      </c>
      <c r="F89" s="28">
        <f t="shared" si="18"/>
        <v>0.57923263302862638</v>
      </c>
      <c r="G89" s="43"/>
      <c r="N89" s="25" t="s">
        <v>41</v>
      </c>
      <c r="O89" s="25" t="s">
        <v>37</v>
      </c>
      <c r="P89" s="54">
        <f>SQRT((2*J82)/(3*2))*L83</f>
        <v>2.6265006894882936E-2</v>
      </c>
      <c r="Q89" s="31"/>
    </row>
    <row r="90" spans="1:18" x14ac:dyDescent="0.25">
      <c r="A90" s="27" t="s">
        <v>56</v>
      </c>
      <c r="B90" s="7">
        <f>'Water foot print'!AO22</f>
        <v>0.41576002019667713</v>
      </c>
      <c r="C90" s="7">
        <f>'Water foot print'!AP22</f>
        <v>0.41390041493775931</v>
      </c>
      <c r="D90" s="7">
        <f>'Water foot print'!AQ22</f>
        <v>0.40316759811098962</v>
      </c>
      <c r="E90" s="28">
        <f t="shared" si="17"/>
        <v>1.232828033245426</v>
      </c>
      <c r="F90" s="28">
        <f>E90/3</f>
        <v>0.41094267774847532</v>
      </c>
      <c r="G90" s="43"/>
      <c r="Q90" s="31"/>
    </row>
    <row r="91" spans="1:18" x14ac:dyDescent="0.25">
      <c r="A91" s="27" t="s">
        <v>57</v>
      </c>
      <c r="B91" s="7">
        <f>'Water foot print'!AO23</f>
        <v>0.4684073832707199</v>
      </c>
      <c r="C91" s="7">
        <f>'Water foot print'!AP23</f>
        <v>0.47879464285714285</v>
      </c>
      <c r="D91" s="7">
        <f>'Water foot print'!AQ23</f>
        <v>0.49500736618104435</v>
      </c>
      <c r="E91" s="28">
        <f t="shared" si="17"/>
        <v>1.4422093923089072</v>
      </c>
      <c r="F91" s="28">
        <f t="shared" ref="F91:F92" si="24">E91/3</f>
        <v>0.48073646410296905</v>
      </c>
      <c r="G91" s="43"/>
    </row>
    <row r="92" spans="1:18" x14ac:dyDescent="0.25">
      <c r="A92" s="27" t="s">
        <v>58</v>
      </c>
      <c r="B92" s="7">
        <f>'Water foot print'!AO24</f>
        <v>0.42374098473258598</v>
      </c>
      <c r="C92" s="7">
        <f>'Water foot print'!AP24</f>
        <v>0.45758310415209336</v>
      </c>
      <c r="D92" s="7">
        <f>'Water foot print'!AQ24</f>
        <v>0.42858616918092335</v>
      </c>
      <c r="E92" s="28">
        <f t="shared" si="17"/>
        <v>1.3099102580656028</v>
      </c>
      <c r="F92" s="28">
        <f t="shared" si="24"/>
        <v>0.43663675268853425</v>
      </c>
      <c r="G92" s="43"/>
    </row>
    <row r="93" spans="1:18" x14ac:dyDescent="0.25">
      <c r="A93" s="25" t="s">
        <v>20</v>
      </c>
      <c r="B93" s="28">
        <f>SUM(B75:B92)</f>
        <v>7.0168212241258576</v>
      </c>
      <c r="C93" s="28">
        <f>SUM(C75:C92)</f>
        <v>7.0260665778091145</v>
      </c>
      <c r="D93" s="28">
        <f>SUM(D75:D92)</f>
        <v>6.9246503167777265</v>
      </c>
      <c r="E93" s="28">
        <f>SUM(E75:E92)</f>
        <v>20.967538118712699</v>
      </c>
      <c r="F93" s="28">
        <f>AVERAGE(B75:D92)</f>
        <v>0.3882877429391241</v>
      </c>
      <c r="G93" s="43"/>
    </row>
    <row r="94" spans="1:18" x14ac:dyDescent="0.25">
      <c r="A94" s="25" t="s">
        <v>11</v>
      </c>
      <c r="B94" s="28">
        <f>B93/18</f>
        <v>0.38982340134032545</v>
      </c>
      <c r="C94" s="28">
        <f>C93/18</f>
        <v>0.39033703210050635</v>
      </c>
      <c r="D94" s="28">
        <f>D93/18</f>
        <v>0.38470279537654034</v>
      </c>
      <c r="G94" s="43"/>
    </row>
    <row r="95" spans="1:18" x14ac:dyDescent="0.25">
      <c r="A95" s="25" t="s">
        <v>59</v>
      </c>
      <c r="B95" s="28">
        <f>(E93*E93)/54</f>
        <v>8.141438051105002</v>
      </c>
      <c r="C95" s="28"/>
      <c r="D95" s="28"/>
      <c r="G95" s="43"/>
    </row>
    <row r="96" spans="1:18" x14ac:dyDescent="0.25">
      <c r="A96" s="25" t="s">
        <v>60</v>
      </c>
      <c r="B96" s="28">
        <f>SUMSQ(B75:D92)-B95</f>
        <v>0.45256620903084688</v>
      </c>
      <c r="C96" s="25" t="s">
        <v>61</v>
      </c>
      <c r="D96" s="28">
        <f>(SUMSQ(B93:D93)/18)-B95</f>
        <v>3.4937427273362687E-4</v>
      </c>
      <c r="G96" s="43"/>
    </row>
    <row r="97" spans="1:18" x14ac:dyDescent="0.25">
      <c r="A97" s="25" t="s">
        <v>62</v>
      </c>
      <c r="B97" s="28">
        <f>(SUMSQ(E75:E92)/3)-B95</f>
        <v>0.43517943583476004</v>
      </c>
      <c r="C97" s="25" t="s">
        <v>63</v>
      </c>
      <c r="D97" s="28">
        <f>B96-B97-D96</f>
        <v>1.7037398923353209E-2</v>
      </c>
      <c r="G97" s="43"/>
    </row>
    <row r="100" spans="1:18" ht="18.75" x14ac:dyDescent="0.3">
      <c r="C100" s="81">
        <v>2020</v>
      </c>
    </row>
    <row r="101" spans="1:18" ht="15.75" x14ac:dyDescent="0.25">
      <c r="C101" s="82" t="s">
        <v>127</v>
      </c>
    </row>
    <row r="103" spans="1:18" x14ac:dyDescent="0.25">
      <c r="A103" s="19" t="s">
        <v>13</v>
      </c>
      <c r="B103" s="20">
        <v>2</v>
      </c>
      <c r="C103" s="21"/>
      <c r="D103" s="21"/>
      <c r="E103" s="21"/>
      <c r="F103" s="21"/>
      <c r="G103" s="21"/>
      <c r="H103" s="21"/>
      <c r="I103" s="21"/>
      <c r="M103" s="22"/>
      <c r="N103" s="22"/>
      <c r="O103" s="21"/>
      <c r="P103" s="21"/>
    </row>
    <row r="104" spans="1:18" x14ac:dyDescent="0.25">
      <c r="A104" s="19" t="s">
        <v>14</v>
      </c>
      <c r="B104" s="20">
        <v>9</v>
      </c>
      <c r="C104" s="21" t="s">
        <v>15</v>
      </c>
      <c r="D104" s="21">
        <v>18</v>
      </c>
      <c r="E104" s="21"/>
      <c r="F104" s="21"/>
      <c r="G104" s="21"/>
      <c r="H104" s="21"/>
      <c r="I104" s="21"/>
      <c r="M104" s="22"/>
      <c r="N104" s="22"/>
      <c r="O104" s="21"/>
      <c r="P104" s="21"/>
    </row>
    <row r="105" spans="1:18" x14ac:dyDescent="0.25">
      <c r="A105" s="15" t="s">
        <v>16</v>
      </c>
      <c r="B105" s="23">
        <v>3</v>
      </c>
    </row>
    <row r="106" spans="1:18" x14ac:dyDescent="0.25">
      <c r="A106" s="24" t="s">
        <v>0</v>
      </c>
      <c r="B106" s="25" t="s">
        <v>17</v>
      </c>
      <c r="C106" s="25" t="s">
        <v>18</v>
      </c>
      <c r="D106" s="25" t="s">
        <v>19</v>
      </c>
      <c r="E106" s="25" t="s">
        <v>20</v>
      </c>
      <c r="F106" s="25" t="s">
        <v>11</v>
      </c>
      <c r="O106" s="16" t="s">
        <v>21</v>
      </c>
      <c r="R106" s="16"/>
    </row>
    <row r="107" spans="1:18" x14ac:dyDescent="0.25">
      <c r="A107" s="27" t="s">
        <v>22</v>
      </c>
      <c r="B107" s="7">
        <f>'Water foot print'!Q57</f>
        <v>0.20981789390340463</v>
      </c>
      <c r="C107" s="7">
        <f>'Water foot print'!R57</f>
        <v>0.17260490894695174</v>
      </c>
      <c r="D107" s="7">
        <f>'Water foot print'!S57</f>
        <v>0.18653998416468728</v>
      </c>
      <c r="E107" s="28">
        <f>SUM(B107:D107)</f>
        <v>0.56896278701504366</v>
      </c>
      <c r="F107" s="28">
        <f>E107/3</f>
        <v>0.1896542623383479</v>
      </c>
      <c r="H107" s="29"/>
      <c r="I107" s="29"/>
      <c r="J107" s="29" t="s">
        <v>23</v>
      </c>
      <c r="K107" s="29"/>
      <c r="L107" s="29"/>
      <c r="M107" s="29"/>
      <c r="N107" s="29"/>
      <c r="O107" s="30">
        <v>1</v>
      </c>
      <c r="P107" s="33">
        <f>SUM(F107:F115)/9</f>
        <v>0.35787854229693061</v>
      </c>
      <c r="Q107" s="31" t="e">
        <f>RANK(P107,P$41:P$42,0)</f>
        <v>#N/A</v>
      </c>
      <c r="R107" s="16"/>
    </row>
    <row r="108" spans="1:18" x14ac:dyDescent="0.25">
      <c r="A108" s="27" t="s">
        <v>24</v>
      </c>
      <c r="B108" s="7">
        <f>'Water foot print'!Q58</f>
        <v>0.32640264026402638</v>
      </c>
      <c r="C108" s="7">
        <f>'Water foot print'!R58</f>
        <v>0.35973597359735976</v>
      </c>
      <c r="D108" s="7">
        <f>'Water foot print'!S58</f>
        <v>0.36716171617161714</v>
      </c>
      <c r="E108" s="28">
        <f t="shared" ref="E108:E124" si="25">SUM(B108:D108)</f>
        <v>1.0533003300330033</v>
      </c>
      <c r="F108" s="28">
        <f t="shared" ref="F108:F121" si="26">E108/3</f>
        <v>0.35110011001100111</v>
      </c>
      <c r="G108" s="28"/>
      <c r="H108" s="25" t="s">
        <v>25</v>
      </c>
      <c r="I108" s="25" t="s">
        <v>26</v>
      </c>
      <c r="J108" s="25" t="s">
        <v>27</v>
      </c>
      <c r="K108" s="25" t="s">
        <v>28</v>
      </c>
      <c r="L108" s="25" t="s">
        <v>29</v>
      </c>
      <c r="M108" s="25" t="s">
        <v>30</v>
      </c>
      <c r="N108" s="32"/>
      <c r="O108" s="30">
        <v>2</v>
      </c>
      <c r="P108" s="33">
        <f>SUM(F116:F124)/9</f>
        <v>0.41938401184619228</v>
      </c>
      <c r="Q108" s="31" t="e">
        <f>RANK(P108,P$41:P$42,0)</f>
        <v>#N/A</v>
      </c>
      <c r="R108" s="16"/>
    </row>
    <row r="109" spans="1:18" x14ac:dyDescent="0.25">
      <c r="A109" s="27" t="s">
        <v>31</v>
      </c>
      <c r="B109" s="7">
        <f>'Water foot print'!Q59</f>
        <v>0.41078838174273857</v>
      </c>
      <c r="C109" s="7">
        <f>'Water foot print'!R59</f>
        <v>0.40331950207468881</v>
      </c>
      <c r="D109" s="7">
        <f>'Water foot print'!S59</f>
        <v>0.38589211618257263</v>
      </c>
      <c r="E109" s="28">
        <f t="shared" si="25"/>
        <v>1.2</v>
      </c>
      <c r="F109" s="28">
        <f t="shared" si="26"/>
        <v>0.39999999999999997</v>
      </c>
      <c r="G109" s="28" t="s">
        <v>32</v>
      </c>
      <c r="H109" s="28">
        <f>B105-1</f>
        <v>2</v>
      </c>
      <c r="I109" s="28">
        <f>D128</f>
        <v>5.6299620603184053E-4</v>
      </c>
      <c r="J109" s="28">
        <f>I109/H109</f>
        <v>2.8149810301592026E-4</v>
      </c>
      <c r="K109" s="28">
        <f>J109/$J$16</f>
        <v>0.56718208134328441</v>
      </c>
      <c r="L109" s="28">
        <f>FINV(0.05,H109,$H$16)</f>
        <v>3.275897990672394</v>
      </c>
      <c r="M109" s="28" t="str">
        <f>IF(K109&gt;=L109, "S", "NS")</f>
        <v>NS</v>
      </c>
      <c r="N109" s="21"/>
      <c r="O109" s="25" t="s">
        <v>33</v>
      </c>
      <c r="P109" s="54">
        <f>SQRT(J114/(3*9))</f>
        <v>4.8850352615975373E-3</v>
      </c>
      <c r="R109" s="16"/>
    </row>
    <row r="110" spans="1:18" x14ac:dyDescent="0.25">
      <c r="A110" s="27" t="s">
        <v>34</v>
      </c>
      <c r="B110" s="7">
        <f>'Water foot print'!Q60</f>
        <v>0.33333333333333331</v>
      </c>
      <c r="C110" s="7">
        <f>'Water foot print'!R60</f>
        <v>0.32744107744107742</v>
      </c>
      <c r="D110" s="7">
        <f>'Water foot print'!S60</f>
        <v>0.30976430976430974</v>
      </c>
      <c r="E110" s="28">
        <f t="shared" si="25"/>
        <v>0.97053872053872037</v>
      </c>
      <c r="F110" s="28">
        <f t="shared" si="26"/>
        <v>0.32351290684624012</v>
      </c>
      <c r="G110" s="28" t="s">
        <v>35</v>
      </c>
      <c r="H110" s="28">
        <f>D104-1</f>
        <v>17</v>
      </c>
      <c r="I110" s="28">
        <f>B129</f>
        <v>0.44168534498131251</v>
      </c>
      <c r="J110" s="28">
        <f t="shared" ref="J110:J114" si="27">I110/H110</f>
        <v>2.5981490881253677E-2</v>
      </c>
      <c r="K110" s="28">
        <f>J110/$J$16</f>
        <v>52.349326395274538</v>
      </c>
      <c r="L110" s="28">
        <f>FINV(0.05,H110,$H$16)</f>
        <v>1.9332068318040869</v>
      </c>
      <c r="M110" s="34" t="str">
        <f t="shared" ref="M110" si="28">IF(K110&gt;=L110, "S", "NS")</f>
        <v>S</v>
      </c>
      <c r="N110" s="25" t="s">
        <v>36</v>
      </c>
      <c r="O110" s="25" t="s">
        <v>37</v>
      </c>
      <c r="P110" s="54">
        <f>SQRT((2*J114)/(3*9))*L115</f>
        <v>1.4039726887566033E-2</v>
      </c>
      <c r="R110" s="16"/>
    </row>
    <row r="111" spans="1:18" x14ac:dyDescent="0.25">
      <c r="A111" s="27" t="s">
        <v>38</v>
      </c>
      <c r="B111" s="7">
        <f>'Water foot print'!Q61</f>
        <v>0.39811643835616439</v>
      </c>
      <c r="C111" s="7">
        <f>'Water foot print'!R61</f>
        <v>0.41866438356164382</v>
      </c>
      <c r="D111" s="7">
        <f>'Water foot print'!S61</f>
        <v>0.3904109589041096</v>
      </c>
      <c r="E111" s="28">
        <f t="shared" si="25"/>
        <v>1.2071917808219177</v>
      </c>
      <c r="F111" s="28">
        <f t="shared" si="26"/>
        <v>0.40239726027397255</v>
      </c>
      <c r="G111" s="28" t="s">
        <v>39</v>
      </c>
      <c r="H111" s="28">
        <f>B103-1</f>
        <v>1</v>
      </c>
      <c r="I111" s="28">
        <f>(SUM(E107:E115)^2+SUM(E116:E124)^2)/27-B127</f>
        <v>5.1069457590415368E-2</v>
      </c>
      <c r="J111" s="28">
        <f t="shared" si="27"/>
        <v>5.1069457590415368E-2</v>
      </c>
      <c r="K111" s="28">
        <f>J111/$J$16</f>
        <v>102.89831774662515</v>
      </c>
      <c r="L111" s="28">
        <f>FINV(0.05,H111,$H$16)</f>
        <v>4.1300177456520188</v>
      </c>
      <c r="M111" s="28" t="str">
        <f>IF(K111&gt;=L111, "S", "NS")</f>
        <v>S</v>
      </c>
      <c r="N111" s="21"/>
      <c r="O111" s="30">
        <v>1</v>
      </c>
      <c r="P111" s="33">
        <f>(F107+F116)/2</f>
        <v>0.19967561601765882</v>
      </c>
      <c r="Q111" s="31" t="e">
        <f>RANK(P111,P$45:P$53,0)</f>
        <v>#N/A</v>
      </c>
      <c r="R111" s="35">
        <v>9</v>
      </c>
    </row>
    <row r="112" spans="1:18" x14ac:dyDescent="0.25">
      <c r="A112" s="27" t="s">
        <v>40</v>
      </c>
      <c r="B112" s="7">
        <f>'Water foot print'!Q62</f>
        <v>0.48523985239852396</v>
      </c>
      <c r="C112" s="7">
        <f>'Water foot print'!R62</f>
        <v>0.46863468634686345</v>
      </c>
      <c r="D112" s="7">
        <f>'Water foot print'!S62</f>
        <v>0.4511070110701107</v>
      </c>
      <c r="E112" s="28">
        <f t="shared" si="25"/>
        <v>1.4049815498154981</v>
      </c>
      <c r="F112" s="28">
        <f t="shared" si="26"/>
        <v>0.4683271832718327</v>
      </c>
      <c r="G112" s="28" t="s">
        <v>41</v>
      </c>
      <c r="H112" s="28">
        <f>B104-1</f>
        <v>8</v>
      </c>
      <c r="I112" s="28">
        <f>((E107+E116)^2+(E108+E117)^2+(E109+E118)^2+(E110+E119)^2+(E111+E120)^2+(E112+E121)^2+(E113+E122)^2+(E114+E123)^2+(E115+E124)^2/6)-B127</f>
        <v>38.515322105886447</v>
      </c>
      <c r="J112" s="28">
        <f t="shared" si="27"/>
        <v>4.8144152632358059</v>
      </c>
      <c r="K112" s="28">
        <f>J112/$J$16</f>
        <v>9700.4208561168452</v>
      </c>
      <c r="L112" s="28">
        <f>FINV(0.05,H112,$H$16)</f>
        <v>2.2253399674380931</v>
      </c>
      <c r="M112" s="28" t="str">
        <f>IF(K112&gt;=L112, "S", "NS")</f>
        <v>S</v>
      </c>
      <c r="N112" s="21"/>
      <c r="O112" s="30">
        <v>2</v>
      </c>
      <c r="P112" s="33">
        <f t="shared" ref="P112:P119" si="29">(F108+F117)/2</f>
        <v>0.35457978896481201</v>
      </c>
      <c r="Q112" s="31" t="e">
        <f t="shared" ref="Q112:Q119" si="30">RANK(P112,P$45:P$53,0)</f>
        <v>#N/A</v>
      </c>
      <c r="R112" s="37">
        <v>5</v>
      </c>
    </row>
    <row r="113" spans="1:18" x14ac:dyDescent="0.25">
      <c r="A113" s="27" t="s">
        <v>42</v>
      </c>
      <c r="B113" s="7">
        <f>'Water foot print'!Q63</f>
        <v>0.3497363796133568</v>
      </c>
      <c r="C113" s="7">
        <f>'Water foot print'!R63</f>
        <v>0.34622144112478037</v>
      </c>
      <c r="D113" s="7">
        <f>'Water foot print'!S63</f>
        <v>0.35852372583479791</v>
      </c>
      <c r="E113" s="28">
        <f t="shared" si="25"/>
        <v>1.0544815465729351</v>
      </c>
      <c r="F113" s="28">
        <f t="shared" si="26"/>
        <v>0.35149384885764506</v>
      </c>
      <c r="G113" s="38" t="s">
        <v>43</v>
      </c>
      <c r="H113" s="28">
        <f>H111*H112</f>
        <v>8</v>
      </c>
      <c r="I113" s="28">
        <f>I110-(I111+I112)</f>
        <v>-38.124706218495547</v>
      </c>
      <c r="J113" s="28">
        <f t="shared" si="27"/>
        <v>-4.7655882773119433</v>
      </c>
      <c r="K113" s="39">
        <f>J113/$J$16</f>
        <v>-9602.0408272452132</v>
      </c>
      <c r="L113" s="28">
        <f>FINV(0.05,H113,$H$16)</f>
        <v>2.2253399674380931</v>
      </c>
      <c r="M113" s="28" t="str">
        <f t="shared" ref="M113" si="31">IF(K113&gt;=L113, "S", "NS")</f>
        <v>NS</v>
      </c>
      <c r="N113" s="21"/>
      <c r="O113" s="30">
        <v>3</v>
      </c>
      <c r="P113" s="33">
        <f t="shared" si="29"/>
        <v>0.43403732809430251</v>
      </c>
      <c r="Q113" s="31" t="e">
        <f t="shared" si="30"/>
        <v>#N/A</v>
      </c>
      <c r="R113" s="37">
        <v>2</v>
      </c>
    </row>
    <row r="114" spans="1:18" x14ac:dyDescent="0.25">
      <c r="A114" s="27" t="s">
        <v>44</v>
      </c>
      <c r="B114" s="7">
        <f>'Water foot print'!Q64</f>
        <v>0.39892665474060818</v>
      </c>
      <c r="C114" s="7">
        <f>'Water foot print'!R64</f>
        <v>0.39177101967799638</v>
      </c>
      <c r="D114" s="7">
        <f>'Water foot print'!S64</f>
        <v>0.38282647584973162</v>
      </c>
      <c r="E114" s="28">
        <f t="shared" si="25"/>
        <v>1.173524150268336</v>
      </c>
      <c r="F114" s="28">
        <f t="shared" si="26"/>
        <v>0.39117471675611198</v>
      </c>
      <c r="G114" s="40" t="s">
        <v>45</v>
      </c>
      <c r="H114" s="28">
        <f>((B105-1)*(B103*B104-1))</f>
        <v>34</v>
      </c>
      <c r="I114" s="28">
        <f>D129</f>
        <v>2.1906756807473116E-2</v>
      </c>
      <c r="J114" s="28">
        <f t="shared" si="27"/>
        <v>6.4431637669038573E-4</v>
      </c>
      <c r="O114" s="30">
        <v>4</v>
      </c>
      <c r="P114" s="33">
        <f t="shared" si="29"/>
        <v>0.34794263960930627</v>
      </c>
      <c r="Q114" s="31" t="e">
        <f t="shared" si="30"/>
        <v>#N/A</v>
      </c>
      <c r="R114" s="37">
        <v>7</v>
      </c>
    </row>
    <row r="115" spans="1:18" x14ac:dyDescent="0.25">
      <c r="A115" s="27" t="s">
        <v>46</v>
      </c>
      <c r="B115" s="7">
        <f>'Water foot print'!Q65</f>
        <v>0.36710037174721188</v>
      </c>
      <c r="C115" s="7">
        <f>'Water foot print'!R65</f>
        <v>0.34200743494423785</v>
      </c>
      <c r="D115" s="7">
        <f>'Water foot print'!S65</f>
        <v>0.32063197026022305</v>
      </c>
      <c r="E115" s="28">
        <f t="shared" si="25"/>
        <v>1.029739776951673</v>
      </c>
      <c r="F115" s="28">
        <f t="shared" si="26"/>
        <v>0.34324659231722432</v>
      </c>
      <c r="G115" s="39" t="s">
        <v>20</v>
      </c>
      <c r="H115" s="28">
        <f>SUM(H109:H114)-H110</f>
        <v>53</v>
      </c>
      <c r="I115" s="28">
        <f>B128</f>
        <v>0.46415509799481747</v>
      </c>
      <c r="K115" s="28" t="s">
        <v>47</v>
      </c>
      <c r="L115" s="16">
        <f>TINV(0.05,34)</f>
        <v>2.0322445093177191</v>
      </c>
      <c r="O115" s="30">
        <v>5</v>
      </c>
      <c r="P115" s="33">
        <f t="shared" si="29"/>
        <v>0.42244518661081548</v>
      </c>
      <c r="Q115" s="31" t="e">
        <f t="shared" si="30"/>
        <v>#N/A</v>
      </c>
      <c r="R115" s="35">
        <v>3</v>
      </c>
    </row>
    <row r="116" spans="1:18" x14ac:dyDescent="0.25">
      <c r="A116" s="27" t="s">
        <v>48</v>
      </c>
      <c r="B116" s="7">
        <f>'Water foot print'!Q66</f>
        <v>0.18272727272727274</v>
      </c>
      <c r="C116" s="7">
        <f>'Water foot print'!R66</f>
        <v>0.20545454545454545</v>
      </c>
      <c r="D116" s="7">
        <f>'Water foot print'!S66</f>
        <v>0.24090909090909091</v>
      </c>
      <c r="E116" s="28">
        <f t="shared" si="25"/>
        <v>0.62909090909090915</v>
      </c>
      <c r="F116" s="28">
        <f t="shared" si="26"/>
        <v>0.20969696969696972</v>
      </c>
      <c r="G116" s="42" t="s">
        <v>33</v>
      </c>
      <c r="H116" s="28">
        <f>SQRT(J114/3)</f>
        <v>1.4655105784792613E-2</v>
      </c>
      <c r="O116" s="30">
        <v>6</v>
      </c>
      <c r="P116" s="33">
        <f t="shared" si="29"/>
        <v>0.5238832178041406</v>
      </c>
      <c r="Q116" s="31" t="e">
        <f t="shared" si="30"/>
        <v>#N/A</v>
      </c>
      <c r="R116" s="37">
        <v>1</v>
      </c>
    </row>
    <row r="117" spans="1:18" x14ac:dyDescent="0.25">
      <c r="A117" s="27" t="s">
        <v>49</v>
      </c>
      <c r="B117" s="7">
        <f>'Water foot print'!Q67</f>
        <v>0.37370892018779339</v>
      </c>
      <c r="C117" s="7">
        <f>'Water foot print'!R67</f>
        <v>0.3295774647887324</v>
      </c>
      <c r="D117" s="7">
        <f>'Water foot print'!S67</f>
        <v>0.37089201877934275</v>
      </c>
      <c r="E117" s="28">
        <f t="shared" si="25"/>
        <v>1.0741784037558686</v>
      </c>
      <c r="F117" s="28">
        <f t="shared" si="26"/>
        <v>0.35805946791862286</v>
      </c>
      <c r="G117" s="42" t="s">
        <v>37</v>
      </c>
      <c r="H117" s="28">
        <f>(SQRT((2*J114)/3))*L115</f>
        <v>4.2119180662698104E-2</v>
      </c>
      <c r="O117" s="30">
        <v>7</v>
      </c>
      <c r="P117" s="33">
        <f t="shared" si="29"/>
        <v>0.38749261408399494</v>
      </c>
      <c r="Q117" s="31" t="e">
        <f t="shared" si="30"/>
        <v>#N/A</v>
      </c>
      <c r="R117" s="37">
        <v>6</v>
      </c>
    </row>
    <row r="118" spans="1:18" x14ac:dyDescent="0.25">
      <c r="A118" s="27" t="s">
        <v>50</v>
      </c>
      <c r="B118" s="7">
        <f>'Water foot print'!Q68</f>
        <v>0.48084479371316308</v>
      </c>
      <c r="C118" s="7">
        <f>'Water foot print'!R68</f>
        <v>0.4862475442043222</v>
      </c>
      <c r="D118" s="7">
        <f>'Water foot print'!S68</f>
        <v>0.43713163064833005</v>
      </c>
      <c r="E118" s="28">
        <f t="shared" si="25"/>
        <v>1.4042239685658153</v>
      </c>
      <c r="F118" s="28">
        <f t="shared" si="26"/>
        <v>0.46807465618860511</v>
      </c>
      <c r="G118" s="42" t="s">
        <v>51</v>
      </c>
      <c r="H118" s="28">
        <f>((SQRT(J114))/F125)*100</f>
        <v>6.5314835184722781</v>
      </c>
      <c r="O118" s="30">
        <v>8</v>
      </c>
      <c r="P118" s="33">
        <f t="shared" si="29"/>
        <v>0.43955417587428525</v>
      </c>
      <c r="Q118" s="31" t="e">
        <f t="shared" si="30"/>
        <v>#N/A</v>
      </c>
      <c r="R118" s="35">
        <v>4</v>
      </c>
    </row>
    <row r="119" spans="1:18" x14ac:dyDescent="0.25">
      <c r="A119" s="27" t="s">
        <v>52</v>
      </c>
      <c r="B119" s="7">
        <f>'Water foot print'!Q69</f>
        <v>0.38438438438438438</v>
      </c>
      <c r="C119" s="7">
        <f>'Water foot print'!R69</f>
        <v>0.37837837837837834</v>
      </c>
      <c r="D119" s="7">
        <f>'Water foot print'!S69</f>
        <v>0.35435435435435436</v>
      </c>
      <c r="E119" s="28">
        <f t="shared" si="25"/>
        <v>1.117117117117117</v>
      </c>
      <c r="F119" s="28">
        <f t="shared" si="26"/>
        <v>0.37237237237237236</v>
      </c>
      <c r="O119" s="30">
        <v>9</v>
      </c>
      <c r="P119" s="33">
        <f t="shared" si="29"/>
        <v>0.38807092658473719</v>
      </c>
      <c r="Q119" s="31" t="e">
        <f t="shared" si="30"/>
        <v>#N/A</v>
      </c>
      <c r="R119" s="37">
        <v>8</v>
      </c>
    </row>
    <row r="120" spans="1:18" x14ac:dyDescent="0.25">
      <c r="A120" s="27" t="s">
        <v>53</v>
      </c>
      <c r="B120" s="7">
        <f>'Water foot print'!Q70</f>
        <v>0.38739669421487605</v>
      </c>
      <c r="C120" s="7">
        <f>'Water foot print'!R70</f>
        <v>0.49070247933884298</v>
      </c>
      <c r="D120" s="7">
        <f>'Water foot print'!S70</f>
        <v>0.44938016528925617</v>
      </c>
      <c r="E120" s="28">
        <f t="shared" si="25"/>
        <v>1.3274793388429753</v>
      </c>
      <c r="F120" s="28">
        <f t="shared" si="26"/>
        <v>0.44249311294765842</v>
      </c>
      <c r="O120" s="25" t="s">
        <v>33</v>
      </c>
      <c r="P120" s="54">
        <f>SQRT(J114/(3*2))</f>
        <v>1.0362724679433057E-2</v>
      </c>
      <c r="Q120" s="31"/>
    </row>
    <row r="121" spans="1:18" x14ac:dyDescent="0.25">
      <c r="A121" s="27" t="s">
        <v>55</v>
      </c>
      <c r="B121" s="7">
        <f>'Water foot print'!Q71</f>
        <v>0.55490654205607481</v>
      </c>
      <c r="C121" s="7">
        <f>'Water foot print'!R71</f>
        <v>0.625</v>
      </c>
      <c r="D121" s="7">
        <f>'Water foot print'!S71</f>
        <v>0.55841121495327106</v>
      </c>
      <c r="E121" s="28">
        <f t="shared" si="25"/>
        <v>1.7383177570093458</v>
      </c>
      <c r="F121" s="28">
        <f t="shared" si="26"/>
        <v>0.57943925233644855</v>
      </c>
      <c r="G121" s="43"/>
      <c r="N121" s="25" t="s">
        <v>41</v>
      </c>
      <c r="O121" s="25" t="s">
        <v>37</v>
      </c>
      <c r="P121" s="54">
        <f>SQRT((2*J114)/(3*2))*L115</f>
        <v>2.9782758264615128E-2</v>
      </c>
      <c r="Q121" s="31"/>
    </row>
    <row r="122" spans="1:18" x14ac:dyDescent="0.25">
      <c r="A122" s="27" t="s">
        <v>56</v>
      </c>
      <c r="B122" s="7">
        <f>'Water foot print'!Q72</f>
        <v>0.43642241379310343</v>
      </c>
      <c r="C122" s="7">
        <f>'Water foot print'!R72</f>
        <v>0.38577586206896547</v>
      </c>
      <c r="D122" s="7">
        <f>'Water foot print'!S72</f>
        <v>0.44827586206896552</v>
      </c>
      <c r="E122" s="28">
        <f t="shared" si="25"/>
        <v>1.2704741379310345</v>
      </c>
      <c r="F122" s="28">
        <f>E122/3</f>
        <v>0.42349137931034481</v>
      </c>
      <c r="G122" s="43"/>
      <c r="Q122" s="31"/>
    </row>
    <row r="123" spans="1:18" x14ac:dyDescent="0.25">
      <c r="A123" s="27" t="s">
        <v>57</v>
      </c>
      <c r="B123" s="7">
        <f>'Water foot print'!Q73</f>
        <v>0.46945701357466063</v>
      </c>
      <c r="C123" s="7">
        <f>'Water foot print'!R73</f>
        <v>0.48190045248868779</v>
      </c>
      <c r="D123" s="7">
        <f>'Water foot print'!S73</f>
        <v>0.51244343891402711</v>
      </c>
      <c r="E123" s="28">
        <f t="shared" si="25"/>
        <v>1.4638009049773755</v>
      </c>
      <c r="F123" s="28">
        <f t="shared" ref="F123:F124" si="32">E123/3</f>
        <v>0.48793363499245851</v>
      </c>
      <c r="G123" s="43"/>
    </row>
    <row r="124" spans="1:18" x14ac:dyDescent="0.25">
      <c r="A124" s="27" t="s">
        <v>58</v>
      </c>
      <c r="B124" s="7">
        <f>'Water foot print'!Q74</f>
        <v>0.42532855436081241</v>
      </c>
      <c r="C124" s="7">
        <f>'Water foot print'!R74</f>
        <v>0.46117084826762245</v>
      </c>
      <c r="D124" s="7">
        <f>'Water foot print'!S74</f>
        <v>0.41218637992831542</v>
      </c>
      <c r="E124" s="28">
        <f t="shared" si="25"/>
        <v>1.2986857825567504</v>
      </c>
      <c r="F124" s="28">
        <f t="shared" si="32"/>
        <v>0.43289526085225011</v>
      </c>
      <c r="G124" s="43"/>
    </row>
    <row r="125" spans="1:18" x14ac:dyDescent="0.25">
      <c r="A125" s="25" t="s">
        <v>20</v>
      </c>
      <c r="B125" s="28">
        <f>SUM(B107:B124)</f>
        <v>6.9746385351115086</v>
      </c>
      <c r="C125" s="28">
        <f t="shared" ref="C125:D125" si="33">SUM(C107:C124)</f>
        <v>7.0746080027056966</v>
      </c>
      <c r="D125" s="28">
        <f t="shared" si="33"/>
        <v>6.9368424240471134</v>
      </c>
      <c r="E125" s="28">
        <f>SUM(E107:E124)</f>
        <v>20.986088961864318</v>
      </c>
      <c r="F125" s="28">
        <f>AVERAGE(B107:D124)</f>
        <v>0.38863127707156148</v>
      </c>
      <c r="G125" s="43"/>
    </row>
    <row r="126" spans="1:18" x14ac:dyDescent="0.25">
      <c r="A126" s="25" t="s">
        <v>11</v>
      </c>
      <c r="B126" s="28">
        <f>B125/18</f>
        <v>0.38747991861730602</v>
      </c>
      <c r="C126" s="28">
        <f>C125/18</f>
        <v>0.39303377792809424</v>
      </c>
      <c r="D126" s="28">
        <f>D125/18</f>
        <v>0.38538013466928406</v>
      </c>
      <c r="G126" s="43"/>
    </row>
    <row r="127" spans="1:18" x14ac:dyDescent="0.25">
      <c r="A127" s="25" t="s">
        <v>59</v>
      </c>
      <c r="B127" s="28">
        <f>(E125*E125)/54</f>
        <v>8.1558505539867294</v>
      </c>
      <c r="C127" s="28"/>
      <c r="D127" s="28"/>
      <c r="G127" s="43"/>
    </row>
    <row r="128" spans="1:18" x14ac:dyDescent="0.25">
      <c r="A128" s="25" t="s">
        <v>60</v>
      </c>
      <c r="B128" s="28">
        <f>SUMSQ(B107:D124)-B127</f>
        <v>0.46415509799481747</v>
      </c>
      <c r="C128" s="25" t="s">
        <v>61</v>
      </c>
      <c r="D128" s="28">
        <f>(SUMSQ(B125:D125)/18)-B127</f>
        <v>5.6299620603184053E-4</v>
      </c>
      <c r="G128" s="43"/>
    </row>
    <row r="129" spans="1:16" x14ac:dyDescent="0.25">
      <c r="A129" s="25" t="s">
        <v>62</v>
      </c>
      <c r="B129" s="28">
        <f>(SUMSQ(E107:E124)/3)-B127</f>
        <v>0.44168534498131251</v>
      </c>
      <c r="C129" s="25" t="s">
        <v>63</v>
      </c>
      <c r="D129" s="28">
        <f>B128-B129-D128</f>
        <v>2.1906756807473116E-2</v>
      </c>
      <c r="G129" s="43"/>
    </row>
    <row r="132" spans="1:16" x14ac:dyDescent="0.25">
      <c r="C132" s="80" t="s">
        <v>128</v>
      </c>
    </row>
    <row r="133" spans="1:16" x14ac:dyDescent="0.25">
      <c r="A133" s="19" t="s">
        <v>13</v>
      </c>
      <c r="B133" s="20">
        <v>2</v>
      </c>
      <c r="C133" s="21"/>
      <c r="D133" s="21"/>
      <c r="E133" s="21"/>
      <c r="F133" s="21"/>
      <c r="G133" s="21"/>
      <c r="H133" s="21"/>
      <c r="I133" s="21"/>
      <c r="M133" s="22"/>
      <c r="N133" s="22"/>
      <c r="O133" s="21"/>
      <c r="P133" s="21"/>
    </row>
    <row r="134" spans="1:16" x14ac:dyDescent="0.25">
      <c r="A134" s="19" t="s">
        <v>14</v>
      </c>
      <c r="B134" s="20">
        <v>9</v>
      </c>
      <c r="C134" s="21" t="s">
        <v>15</v>
      </c>
      <c r="D134" s="21">
        <v>18</v>
      </c>
      <c r="E134" s="21"/>
      <c r="F134" s="21"/>
      <c r="G134" s="21"/>
      <c r="H134" s="21"/>
      <c r="I134" s="21"/>
      <c r="M134" s="22"/>
      <c r="N134" s="22"/>
      <c r="O134" s="21"/>
      <c r="P134" s="21"/>
    </row>
    <row r="135" spans="1:16" x14ac:dyDescent="0.25">
      <c r="A135" s="15" t="s">
        <v>16</v>
      </c>
      <c r="B135" s="23">
        <v>3</v>
      </c>
    </row>
    <row r="136" spans="1:16" x14ac:dyDescent="0.25">
      <c r="A136" s="24" t="s">
        <v>0</v>
      </c>
      <c r="B136" s="25" t="s">
        <v>17</v>
      </c>
      <c r="C136" s="25" t="s">
        <v>18</v>
      </c>
      <c r="D136" s="25" t="s">
        <v>19</v>
      </c>
      <c r="E136" s="25" t="s">
        <v>20</v>
      </c>
      <c r="F136" s="25" t="s">
        <v>11</v>
      </c>
      <c r="O136" s="16" t="s">
        <v>21</v>
      </c>
    </row>
    <row r="137" spans="1:16" x14ac:dyDescent="0.25">
      <c r="A137" s="27" t="s">
        <v>22</v>
      </c>
      <c r="B137" s="8">
        <f>'Water foot print'!AB120</f>
        <v>0.21614655552111714</v>
      </c>
      <c r="C137" s="8">
        <f>'Water foot print'!AC120</f>
        <v>0.17781112869284352</v>
      </c>
      <c r="D137" s="8">
        <f>'Water foot print'!AD120</f>
        <v>0.19216652256896299</v>
      </c>
      <c r="E137" s="28">
        <f>SUM(B137:D137)</f>
        <v>0.58612420678292365</v>
      </c>
      <c r="F137" s="28">
        <f>E137/3</f>
        <v>0.19537473559430787</v>
      </c>
      <c r="H137" s="29"/>
      <c r="I137" s="29"/>
      <c r="J137" s="29" t="s">
        <v>23</v>
      </c>
      <c r="K137" s="29"/>
      <c r="L137" s="29"/>
      <c r="M137" s="29"/>
      <c r="N137" s="29"/>
      <c r="O137" s="30">
        <v>1</v>
      </c>
      <c r="P137" s="33">
        <f>SUM(F137:F145)/9</f>
        <v>0.36975962320344363</v>
      </c>
    </row>
    <row r="138" spans="1:16" x14ac:dyDescent="0.25">
      <c r="A138" s="27" t="s">
        <v>24</v>
      </c>
      <c r="B138" s="8">
        <f>'Water foot print'!AB121</f>
        <v>0.33667512042348213</v>
      </c>
      <c r="C138" s="8">
        <f>'Water foot print'!AC121</f>
        <v>0.37105751391465674</v>
      </c>
      <c r="D138" s="8">
        <f>'Water foot print'!AD121</f>
        <v>0.37871695800922534</v>
      </c>
      <c r="E138" s="28">
        <f t="shared" ref="E138:E154" si="34">SUM(B138:D138)</f>
        <v>1.0864495923473643</v>
      </c>
      <c r="F138" s="28">
        <f t="shared" ref="F138:F151" si="35">E138/3</f>
        <v>0.36214986411578809</v>
      </c>
      <c r="G138" s="28"/>
      <c r="H138" s="25" t="s">
        <v>25</v>
      </c>
      <c r="I138" s="25" t="s">
        <v>26</v>
      </c>
      <c r="J138" s="25" t="s">
        <v>27</v>
      </c>
      <c r="K138" s="25" t="s">
        <v>28</v>
      </c>
      <c r="L138" s="25" t="s">
        <v>29</v>
      </c>
      <c r="M138" s="25" t="s">
        <v>30</v>
      </c>
      <c r="N138" s="32"/>
      <c r="O138" s="30">
        <v>2</v>
      </c>
      <c r="P138" s="33">
        <f>SUM(F146:F154)/9</f>
        <v>0.43657962543306017</v>
      </c>
    </row>
    <row r="139" spans="1:16" x14ac:dyDescent="0.25">
      <c r="A139" s="27" t="s">
        <v>31</v>
      </c>
      <c r="B139" s="8">
        <f>'Water foot print'!AB122</f>
        <v>0.42379411311450144</v>
      </c>
      <c r="C139" s="8">
        <f>'Water foot print'!AC122</f>
        <v>0.41608876560332869</v>
      </c>
      <c r="D139" s="8">
        <f>'Water foot print'!AD122</f>
        <v>0.39810962141059225</v>
      </c>
      <c r="E139" s="28">
        <f t="shared" si="34"/>
        <v>1.2379925001284224</v>
      </c>
      <c r="F139" s="28">
        <f t="shared" si="35"/>
        <v>0.41266416670947415</v>
      </c>
      <c r="G139" s="28" t="s">
        <v>32</v>
      </c>
      <c r="H139" s="28">
        <f>B135-1</f>
        <v>2</v>
      </c>
      <c r="I139" s="28">
        <f>D158</f>
        <v>6.1234758527817235E-4</v>
      </c>
      <c r="J139" s="28">
        <f>I139/H139</f>
        <v>3.0617379263908617E-4</v>
      </c>
      <c r="K139" s="28">
        <f>J139/$J$16</f>
        <v>0.61690038796454294</v>
      </c>
      <c r="L139" s="28">
        <f>FINV(0.05,H139,$H$16)</f>
        <v>3.275897990672394</v>
      </c>
      <c r="M139" s="28" t="str">
        <f>IF(K139&gt;=L139, "S", "NS")</f>
        <v>NS</v>
      </c>
      <c r="N139" s="21"/>
      <c r="O139" s="25" t="s">
        <v>33</v>
      </c>
      <c r="P139" s="54">
        <f>SQRT(J144/(3*9))</f>
        <v>5.075541879621114E-3</v>
      </c>
    </row>
    <row r="140" spans="1:16" x14ac:dyDescent="0.25">
      <c r="A140" s="27" t="s">
        <v>34</v>
      </c>
      <c r="B140" s="8">
        <f>'Water foot print'!AB123</f>
        <v>0.34404267519243797</v>
      </c>
      <c r="C140" s="8">
        <f>'Water foot print'!AC123</f>
        <v>0.33796111275216761</v>
      </c>
      <c r="D140" s="8">
        <f>'Water foot print'!AD123</f>
        <v>0.31971642543135648</v>
      </c>
      <c r="E140" s="28">
        <f t="shared" si="34"/>
        <v>1.001720213375962</v>
      </c>
      <c r="F140" s="28">
        <f t="shared" si="35"/>
        <v>0.33390673779198732</v>
      </c>
      <c r="G140" s="28" t="s">
        <v>35</v>
      </c>
      <c r="H140" s="28">
        <f>D134-1</f>
        <v>17</v>
      </c>
      <c r="I140" s="28">
        <f>B159</f>
        <v>0.48782309100482735</v>
      </c>
      <c r="J140" s="28">
        <f t="shared" ref="J140:J144" si="36">I140/H140</f>
        <v>2.8695475941460432E-2</v>
      </c>
      <c r="K140" s="28">
        <f>J140/$J$16</f>
        <v>57.817653459260434</v>
      </c>
      <c r="L140" s="28">
        <f>FINV(0.05,H140,$H$16)</f>
        <v>1.9332068318040869</v>
      </c>
      <c r="M140" s="34" t="str">
        <f t="shared" ref="M140" si="37">IF(K140&gt;=L140, "S", "NS")</f>
        <v>S</v>
      </c>
      <c r="N140" s="25" t="s">
        <v>36</v>
      </c>
      <c r="O140" s="25" t="s">
        <v>37</v>
      </c>
      <c r="P140" s="54">
        <f>SQRT((2*J144)/(3*9))*L145</f>
        <v>1.4587248193778712E-2</v>
      </c>
    </row>
    <row r="141" spans="1:16" x14ac:dyDescent="0.25">
      <c r="A141" s="27" t="s">
        <v>38</v>
      </c>
      <c r="B141" s="8">
        <f>'Water foot print'!AB124</f>
        <v>0.41113331329242631</v>
      </c>
      <c r="C141" s="8">
        <f>'Water foot print'!AC124</f>
        <v>0.43235309720429344</v>
      </c>
      <c r="D141" s="8">
        <f>'Water foot print'!AD124</f>
        <v>0.40317589432547607</v>
      </c>
      <c r="E141" s="28">
        <f t="shared" si="34"/>
        <v>1.2466623048221956</v>
      </c>
      <c r="F141" s="28">
        <f t="shared" si="35"/>
        <v>0.41555410160739853</v>
      </c>
      <c r="G141" s="28" t="s">
        <v>39</v>
      </c>
      <c r="H141" s="28">
        <f>B133-1</f>
        <v>1</v>
      </c>
      <c r="I141" s="28">
        <f>(SUM(E137:E145)^2+SUM(E146:E154)^2)/27-B157</f>
        <v>6.0276321422543688E-2</v>
      </c>
      <c r="J141" s="28">
        <f t="shared" si="36"/>
        <v>6.0276321422543688E-2</v>
      </c>
      <c r="K141" s="28">
        <f>J141/$J$16</f>
        <v>121.44895142764651</v>
      </c>
      <c r="L141" s="28">
        <f>FINV(0.05,H141,$H$16)</f>
        <v>4.1300177456520188</v>
      </c>
      <c r="M141" s="28" t="str">
        <f>IF(K141&gt;=L141, "S", "NS")</f>
        <v>S</v>
      </c>
      <c r="N141" s="21"/>
      <c r="O141" s="30">
        <v>1</v>
      </c>
      <c r="P141" s="33">
        <f>(F137+F146)/2</f>
        <v>0.20618328822511703</v>
      </c>
    </row>
    <row r="142" spans="1:16" x14ac:dyDescent="0.25">
      <c r="A142" s="27" t="s">
        <v>40</v>
      </c>
      <c r="B142" s="8">
        <f>'Water foot print'!AB125</f>
        <v>0.50237817806727658</v>
      </c>
      <c r="C142" s="8">
        <f>'Water foot print'!AC125</f>
        <v>0.48518652938816831</v>
      </c>
      <c r="D142" s="8">
        <f>'Water foot print'!AD125</f>
        <v>0.46703978911577615</v>
      </c>
      <c r="E142" s="28">
        <f t="shared" si="34"/>
        <v>1.454604496571221</v>
      </c>
      <c r="F142" s="28">
        <f t="shared" si="35"/>
        <v>0.48486816552374035</v>
      </c>
      <c r="G142" s="28" t="s">
        <v>41</v>
      </c>
      <c r="H142" s="28">
        <f>B134-1</f>
        <v>8</v>
      </c>
      <c r="I142" s="28">
        <f>((E137+E146)^2+(E138+E147)^2+(E139+E148)^2+(E140+E149)^2+(E141+E150)^2+(E142+E151)^2+(E143+E152)^2+(E144+E153)^2+(E145+E154)^2/6)-B157</f>
        <v>41.447806839263393</v>
      </c>
      <c r="J142" s="28">
        <f t="shared" si="36"/>
        <v>5.1809758549079241</v>
      </c>
      <c r="K142" s="28">
        <f>J142/$J$16</f>
        <v>10438.992793531497</v>
      </c>
      <c r="L142" s="28">
        <f>FINV(0.05,H142,$H$16)</f>
        <v>2.2253399674380931</v>
      </c>
      <c r="M142" s="28" t="str">
        <f>IF(K142&gt;=L142, "S", "NS")</f>
        <v>S</v>
      </c>
      <c r="N142" s="21"/>
      <c r="O142" s="30">
        <v>2</v>
      </c>
      <c r="P142" s="33">
        <f t="shared" ref="P142:P149" si="38">(F138+F147)/2</f>
        <v>0.36654473485031702</v>
      </c>
    </row>
    <row r="143" spans="1:16" x14ac:dyDescent="0.25">
      <c r="A143" s="27" t="s">
        <v>42</v>
      </c>
      <c r="B143" s="8">
        <f>'Water foot print'!AB126</f>
        <v>0.36148298850157129</v>
      </c>
      <c r="C143" s="8">
        <f>'Water foot print'!AC126</f>
        <v>0.35784999364225906</v>
      </c>
      <c r="D143" s="8">
        <f>'Water foot print'!AD126</f>
        <v>0.37056547564985193</v>
      </c>
      <c r="E143" s="28">
        <f t="shared" si="34"/>
        <v>1.0898984577936823</v>
      </c>
      <c r="F143" s="28">
        <f t="shared" si="35"/>
        <v>0.36329948593122746</v>
      </c>
      <c r="G143" s="38" t="s">
        <v>43</v>
      </c>
      <c r="H143" s="28">
        <f>H141*H142</f>
        <v>8</v>
      </c>
      <c r="I143" s="28">
        <f>I140-(I141+I142)</f>
        <v>-41.020260069681107</v>
      </c>
      <c r="J143" s="28">
        <f t="shared" si="36"/>
        <v>-5.1275325087101384</v>
      </c>
      <c r="K143" s="39">
        <f>J143/$J$16</f>
        <v>-10331.311398859025</v>
      </c>
      <c r="L143" s="28">
        <f>FINV(0.05,H143,$H$16)</f>
        <v>2.2253399674380931</v>
      </c>
      <c r="M143" s="28" t="str">
        <f t="shared" ref="M143" si="39">IF(K143&gt;=L143, "S", "NS")</f>
        <v>NS</v>
      </c>
      <c r="N143" s="21"/>
      <c r="O143" s="30">
        <v>3</v>
      </c>
      <c r="P143" s="33">
        <f t="shared" si="38"/>
        <v>0.44919155614836004</v>
      </c>
    </row>
    <row r="144" spans="1:16" x14ac:dyDescent="0.25">
      <c r="A144" s="27" t="s">
        <v>44</v>
      </c>
      <c r="B144" s="8">
        <f>'Water foot print'!AB127</f>
        <v>0.41257331039203704</v>
      </c>
      <c r="C144" s="8">
        <f>'Water foot print'!AC127</f>
        <v>0.40517289226841308</v>
      </c>
      <c r="D144" s="8">
        <f>'Water foot print'!AD127</f>
        <v>0.39592236961388311</v>
      </c>
      <c r="E144" s="28">
        <f t="shared" si="34"/>
        <v>1.2136685722743332</v>
      </c>
      <c r="F144" s="28">
        <f t="shared" si="35"/>
        <v>0.40455619075811106</v>
      </c>
      <c r="G144" s="40" t="s">
        <v>45</v>
      </c>
      <c r="H144" s="28">
        <f>((B135-1)*(B133*B134-1))</f>
        <v>34</v>
      </c>
      <c r="I144" s="28">
        <f>D159</f>
        <v>2.3648713091301232E-2</v>
      </c>
      <c r="J144" s="28">
        <f t="shared" si="36"/>
        <v>6.9555038503827152E-4</v>
      </c>
      <c r="O144" s="30">
        <v>4</v>
      </c>
      <c r="P144" s="33">
        <f t="shared" si="38"/>
        <v>0.36029654263458533</v>
      </c>
    </row>
    <row r="145" spans="1:16" x14ac:dyDescent="0.25">
      <c r="A145" s="27" t="s">
        <v>46</v>
      </c>
      <c r="B145" s="8">
        <f>'Water foot print'!AB128</f>
        <v>0.38016592558372309</v>
      </c>
      <c r="C145" s="8">
        <f>'Water foot print'!AC128</f>
        <v>0.35417990029065843</v>
      </c>
      <c r="D145" s="8">
        <f>'Water foot print'!AD128</f>
        <v>0.33204365652249235</v>
      </c>
      <c r="E145" s="28">
        <f t="shared" si="34"/>
        <v>1.066389482396874</v>
      </c>
      <c r="F145" s="28">
        <f t="shared" si="35"/>
        <v>0.35546316079895801</v>
      </c>
      <c r="G145" s="39" t="s">
        <v>20</v>
      </c>
      <c r="H145" s="28">
        <f>SUM(H139:H144)-H140</f>
        <v>53</v>
      </c>
      <c r="I145" s="28">
        <f>B158</f>
        <v>0.51208415168140675</v>
      </c>
      <c r="K145" s="28" t="s">
        <v>47</v>
      </c>
      <c r="L145" s="16">
        <f>TINV(0.05,34)</f>
        <v>2.0322445093177191</v>
      </c>
      <c r="O145" s="30">
        <v>5</v>
      </c>
      <c r="P145" s="33">
        <f t="shared" si="38"/>
        <v>0.43781149331478031</v>
      </c>
    </row>
    <row r="146" spans="1:16" x14ac:dyDescent="0.25">
      <c r="A146" s="27" t="s">
        <v>48</v>
      </c>
      <c r="B146" s="8">
        <f>'Water foot print'!AB129</f>
        <v>0.18908393068803975</v>
      </c>
      <c r="C146" s="8">
        <f>'Water foot print'!AC129</f>
        <v>0.21260183251491033</v>
      </c>
      <c r="D146" s="8">
        <f>'Water foot print'!AD129</f>
        <v>0.2492897593648285</v>
      </c>
      <c r="E146" s="28">
        <f t="shared" si="34"/>
        <v>0.65097552256777858</v>
      </c>
      <c r="F146" s="28">
        <f t="shared" si="35"/>
        <v>0.21699184085592618</v>
      </c>
      <c r="G146" s="42" t="s">
        <v>33</v>
      </c>
      <c r="H146" s="28">
        <f>SQRT(J144/3)</f>
        <v>1.5226625638863343E-2</v>
      </c>
      <c r="O146" s="30">
        <v>6</v>
      </c>
      <c r="P146" s="33">
        <f t="shared" si="38"/>
        <v>0.5452349911645954</v>
      </c>
    </row>
    <row r="147" spans="1:16" x14ac:dyDescent="0.25">
      <c r="A147" s="27" t="s">
        <v>49</v>
      </c>
      <c r="B147" s="8">
        <f>'Water foot print'!AB130</f>
        <v>0.3871520009338339</v>
      </c>
      <c r="C147" s="8">
        <f>'Water foot print'!AC130</f>
        <v>0.34143304604968772</v>
      </c>
      <c r="D147" s="8">
        <f>'Water foot print'!AD130</f>
        <v>0.38423376977101609</v>
      </c>
      <c r="E147" s="28">
        <f t="shared" si="34"/>
        <v>1.1128188167545376</v>
      </c>
      <c r="F147" s="28">
        <f t="shared" si="35"/>
        <v>0.3709396055848459</v>
      </c>
      <c r="G147" s="42" t="s">
        <v>37</v>
      </c>
      <c r="H147" s="28">
        <f>(SQRT((2*J144)/3))*L145</f>
        <v>4.3761744581336144E-2</v>
      </c>
      <c r="O147" s="30">
        <v>7</v>
      </c>
      <c r="P147" s="33">
        <f t="shared" si="38"/>
        <v>0.40218351325135365</v>
      </c>
    </row>
    <row r="148" spans="1:16" x14ac:dyDescent="0.25">
      <c r="A148" s="27" t="s">
        <v>50</v>
      </c>
      <c r="B148" s="8">
        <f>'Water foot print'!AB131</f>
        <v>0.49897045931785283</v>
      </c>
      <c r="C148" s="8">
        <f>'Water foot print'!AC131</f>
        <v>0.5045768689731096</v>
      </c>
      <c r="D148" s="8">
        <f>'Water foot print'!AD131</f>
        <v>0.4536095084707753</v>
      </c>
      <c r="E148" s="28">
        <f t="shared" si="34"/>
        <v>1.4571568367617376</v>
      </c>
      <c r="F148" s="28">
        <f t="shared" si="35"/>
        <v>0.48571894558724588</v>
      </c>
      <c r="G148" s="42" t="s">
        <v>51</v>
      </c>
      <c r="H148" s="28">
        <f>((SQRT(J144))/F155)*100</f>
        <v>6.5414871665837149</v>
      </c>
      <c r="O148" s="30">
        <v>8</v>
      </c>
      <c r="P148" s="33">
        <f t="shared" si="38"/>
        <v>0.45689624685914654</v>
      </c>
    </row>
    <row r="149" spans="1:16" x14ac:dyDescent="0.25">
      <c r="A149" s="27" t="s">
        <v>52</v>
      </c>
      <c r="B149" s="8">
        <f>'Water foot print'!AB132</f>
        <v>0.39916010062160867</v>
      </c>
      <c r="C149" s="8">
        <f>'Water foot print'!AC132</f>
        <v>0.392923224049396</v>
      </c>
      <c r="D149" s="8">
        <f>'Water foot print'!AD132</f>
        <v>0.3679757177605455</v>
      </c>
      <c r="E149" s="28">
        <f t="shared" si="34"/>
        <v>1.1600590424315502</v>
      </c>
      <c r="F149" s="28">
        <f t="shared" si="35"/>
        <v>0.38668634747718339</v>
      </c>
      <c r="O149" s="30">
        <v>9</v>
      </c>
      <c r="P149" s="33">
        <f t="shared" si="38"/>
        <v>0.40418425241601197</v>
      </c>
    </row>
    <row r="150" spans="1:16" x14ac:dyDescent="0.25">
      <c r="A150" s="27" t="s">
        <v>53</v>
      </c>
      <c r="B150" s="8">
        <f>'Water foot print'!AB133</f>
        <v>0.4027840433073403</v>
      </c>
      <c r="C150" s="8">
        <f>'Water foot print'!AC133</f>
        <v>0.51019312152263108</v>
      </c>
      <c r="D150" s="8">
        <f>'Water foot print'!AD133</f>
        <v>0.46722949023651478</v>
      </c>
      <c r="E150" s="28">
        <f t="shared" si="34"/>
        <v>1.3802066550664862</v>
      </c>
      <c r="F150" s="28">
        <f t="shared" si="35"/>
        <v>0.46006888502216209</v>
      </c>
      <c r="O150" s="25" t="s">
        <v>33</v>
      </c>
      <c r="P150" s="54">
        <f>SQRT(J144/(3*2))</f>
        <v>1.0766850243829217E-2</v>
      </c>
    </row>
    <row r="151" spans="1:16" x14ac:dyDescent="0.25">
      <c r="A151" s="27" t="s">
        <v>55</v>
      </c>
      <c r="B151" s="8">
        <f>'Water foot print'!AB134</f>
        <v>0.57996141730360673</v>
      </c>
      <c r="C151" s="8">
        <f>'Water foot print'!AC134</f>
        <v>0.65321970159458864</v>
      </c>
      <c r="D151" s="8">
        <f>'Water foot print'!AD134</f>
        <v>0.58362433151815585</v>
      </c>
      <c r="E151" s="28">
        <f t="shared" si="34"/>
        <v>1.8168054504163513</v>
      </c>
      <c r="F151" s="28">
        <f t="shared" si="35"/>
        <v>0.60560181680545044</v>
      </c>
      <c r="G151" s="43"/>
      <c r="N151" s="25" t="s">
        <v>41</v>
      </c>
      <c r="O151" s="25" t="s">
        <v>37</v>
      </c>
      <c r="P151" s="54">
        <f>SQRT((2*J144)/(3*2))*L145</f>
        <v>3.0944226350016434E-2</v>
      </c>
    </row>
    <row r="152" spans="1:16" x14ac:dyDescent="0.25">
      <c r="A152" s="27" t="s">
        <v>56</v>
      </c>
      <c r="B152" s="8">
        <f>'Water foot print'!AB135</f>
        <v>0.45453525173396775</v>
      </c>
      <c r="C152" s="8">
        <f>'Water foot print'!AC135</f>
        <v>0.40178671634755664</v>
      </c>
      <c r="D152" s="8">
        <f>'Water foot print'!AD135</f>
        <v>0.46688065363291503</v>
      </c>
      <c r="E152" s="28">
        <f t="shared" si="34"/>
        <v>1.3232026217144395</v>
      </c>
      <c r="F152" s="28">
        <f>E152/3</f>
        <v>0.44106754057147984</v>
      </c>
      <c r="G152" s="43"/>
    </row>
    <row r="153" spans="1:16" x14ac:dyDescent="0.25">
      <c r="A153" s="27" t="s">
        <v>57</v>
      </c>
      <c r="B153" s="8">
        <f>'Water foot print'!AB136</f>
        <v>0.48995301173526007</v>
      </c>
      <c r="C153" s="8">
        <f>'Water foot print'!AC136</f>
        <v>0.50293971807041149</v>
      </c>
      <c r="D153" s="8">
        <f>'Water foot print'!AD136</f>
        <v>0.53481617907487422</v>
      </c>
      <c r="E153" s="28">
        <f t="shared" si="34"/>
        <v>1.5277089088805458</v>
      </c>
      <c r="F153" s="28">
        <f t="shared" ref="F153:F154" si="40">E153/3</f>
        <v>0.50923630296018196</v>
      </c>
      <c r="G153" s="43"/>
    </row>
    <row r="154" spans="1:16" x14ac:dyDescent="0.25">
      <c r="A154" s="27" t="s">
        <v>58</v>
      </c>
      <c r="B154" s="8">
        <f>'Water foot print'!AB137</f>
        <v>0.44498887527811803</v>
      </c>
      <c r="C154" s="8">
        <f>'Water foot print'!AC137</f>
        <v>0.48248793780155497</v>
      </c>
      <c r="D154" s="8">
        <f>'Water foot print'!AD137</f>
        <v>0.4312392190195245</v>
      </c>
      <c r="E154" s="28">
        <f t="shared" si="34"/>
        <v>1.3587160320991976</v>
      </c>
      <c r="F154" s="28">
        <f t="shared" si="40"/>
        <v>0.45290534403306587</v>
      </c>
      <c r="G154" s="43"/>
    </row>
    <row r="155" spans="1:16" x14ac:dyDescent="0.25">
      <c r="A155" s="25" t="s">
        <v>20</v>
      </c>
      <c r="B155" s="28">
        <f>SUM(B137:B154)</f>
        <v>7.2349812710082011</v>
      </c>
      <c r="C155" s="28">
        <f t="shared" ref="C155:D155" si="41">SUM(C137:C154)</f>
        <v>7.3398231006806345</v>
      </c>
      <c r="D155" s="28">
        <f t="shared" si="41"/>
        <v>7.1963553414967665</v>
      </c>
      <c r="E155" s="28">
        <f>SUM(E137:E154)</f>
        <v>21.7711597131856</v>
      </c>
      <c r="F155" s="28">
        <f>AVERAGE(B137:D154)</f>
        <v>0.40316962431825187</v>
      </c>
      <c r="G155" s="43"/>
    </row>
    <row r="156" spans="1:16" x14ac:dyDescent="0.25">
      <c r="A156" s="25" t="s">
        <v>11</v>
      </c>
      <c r="B156" s="28">
        <f>B155/18</f>
        <v>0.40194340394490008</v>
      </c>
      <c r="C156" s="28">
        <f>C155/18</f>
        <v>0.40776795003781302</v>
      </c>
      <c r="D156" s="28">
        <f>D155/18</f>
        <v>0.39979751897204258</v>
      </c>
      <c r="G156" s="43"/>
    </row>
    <row r="157" spans="1:16" x14ac:dyDescent="0.25">
      <c r="A157" s="25" t="s">
        <v>59</v>
      </c>
      <c r="B157" s="28">
        <f>(E155*E155)/54</f>
        <v>8.7774702825376973</v>
      </c>
      <c r="C157" s="28"/>
      <c r="D157" s="28"/>
      <c r="G157" s="43"/>
    </row>
    <row r="158" spans="1:16" x14ac:dyDescent="0.25">
      <c r="A158" s="25" t="s">
        <v>60</v>
      </c>
      <c r="B158" s="28">
        <f>SUMSQ(B137:D154)-B157</f>
        <v>0.51208415168140675</v>
      </c>
      <c r="C158" s="25" t="s">
        <v>61</v>
      </c>
      <c r="D158" s="28">
        <f>(SUMSQ(B155:D155)/18)-B157</f>
        <v>6.1234758527817235E-4</v>
      </c>
      <c r="G158" s="43"/>
    </row>
    <row r="159" spans="1:16" x14ac:dyDescent="0.25">
      <c r="A159" s="25" t="s">
        <v>62</v>
      </c>
      <c r="B159" s="28">
        <f>(SUMSQ(E137:E154)/3)-B157</f>
        <v>0.48782309100482735</v>
      </c>
      <c r="C159" s="25" t="s">
        <v>63</v>
      </c>
      <c r="D159" s="28">
        <f>B158-B159-D158</f>
        <v>2.3648713091301232E-2</v>
      </c>
      <c r="G159" s="43"/>
    </row>
    <row r="162" spans="1:16" x14ac:dyDescent="0.25">
      <c r="C162" s="80" t="s">
        <v>126</v>
      </c>
    </row>
    <row r="163" spans="1:16" x14ac:dyDescent="0.25">
      <c r="A163" s="19" t="s">
        <v>13</v>
      </c>
      <c r="B163" s="20">
        <v>2</v>
      </c>
      <c r="C163" s="21"/>
      <c r="D163" s="21"/>
      <c r="E163" s="21"/>
      <c r="F163" s="21"/>
      <c r="G163" s="21"/>
      <c r="H163" s="21"/>
      <c r="I163" s="21"/>
      <c r="M163" s="22"/>
      <c r="N163" s="22"/>
      <c r="O163" s="21"/>
      <c r="P163" s="21"/>
    </row>
    <row r="164" spans="1:16" x14ac:dyDescent="0.25">
      <c r="A164" s="19" t="s">
        <v>14</v>
      </c>
      <c r="B164" s="20">
        <v>9</v>
      </c>
      <c r="C164" s="21" t="s">
        <v>15</v>
      </c>
      <c r="D164" s="21">
        <v>18</v>
      </c>
      <c r="E164" s="21"/>
      <c r="F164" s="21"/>
      <c r="G164" s="21"/>
      <c r="H164" s="21"/>
      <c r="I164" s="21"/>
      <c r="M164" s="22"/>
      <c r="N164" s="22"/>
      <c r="O164" s="21"/>
      <c r="P164" s="21"/>
    </row>
    <row r="165" spans="1:16" x14ac:dyDescent="0.25">
      <c r="A165" s="15" t="s">
        <v>16</v>
      </c>
      <c r="B165" s="23">
        <v>3</v>
      </c>
    </row>
    <row r="166" spans="1:16" x14ac:dyDescent="0.25">
      <c r="A166" s="24" t="s">
        <v>0</v>
      </c>
      <c r="B166" s="25" t="s">
        <v>17</v>
      </c>
      <c r="C166" s="25" t="s">
        <v>18</v>
      </c>
      <c r="D166" s="25" t="s">
        <v>19</v>
      </c>
      <c r="E166" s="25" t="s">
        <v>20</v>
      </c>
      <c r="F166" s="25" t="s">
        <v>11</v>
      </c>
      <c r="O166" s="16" t="s">
        <v>21</v>
      </c>
    </row>
    <row r="167" spans="1:16" x14ac:dyDescent="0.25">
      <c r="A167" s="27" t="s">
        <v>22</v>
      </c>
      <c r="B167" s="7">
        <f>'Water foot print'!AO120</f>
        <v>0.21311514712304416</v>
      </c>
      <c r="C167" s="7">
        <f>'Water foot print'!AP120</f>
        <v>0.175913371437286</v>
      </c>
      <c r="D167" s="7">
        <f>'Water foot print'!AQ120</f>
        <v>0.18984371606566014</v>
      </c>
      <c r="E167" s="28">
        <f>SUM(B167:D167)</f>
        <v>0.57887223462599025</v>
      </c>
      <c r="F167" s="28">
        <f>E167/3</f>
        <v>0.19295741154199675</v>
      </c>
      <c r="H167" s="29"/>
      <c r="I167" s="29"/>
      <c r="J167" s="29" t="s">
        <v>23</v>
      </c>
      <c r="K167" s="29"/>
      <c r="L167" s="29"/>
      <c r="M167" s="29"/>
      <c r="N167" s="29"/>
      <c r="O167" s="30">
        <v>1</v>
      </c>
      <c r="P167" s="33">
        <f>SUM(F167:F175)/9</f>
        <v>0.36145508085374667</v>
      </c>
    </row>
    <row r="168" spans="1:16" x14ac:dyDescent="0.25">
      <c r="A168" s="27" t="s">
        <v>24</v>
      </c>
      <c r="B168" s="7">
        <f>'Water foot print'!AO121</f>
        <v>0.32982090546219373</v>
      </c>
      <c r="C168" s="7">
        <f>'Water foot print'!AP121</f>
        <v>0.36315092495588991</v>
      </c>
      <c r="D168" s="7">
        <f>'Water foot print'!AQ121</f>
        <v>0.37057601201263241</v>
      </c>
      <c r="E168" s="28">
        <f t="shared" ref="E168:E184" si="42">SUM(B168:D168)</f>
        <v>1.0635478424307161</v>
      </c>
      <c r="F168" s="28">
        <f t="shared" ref="F168:F181" si="43">E168/3</f>
        <v>0.35451594747690535</v>
      </c>
      <c r="G168" s="28"/>
      <c r="H168" s="25" t="s">
        <v>25</v>
      </c>
      <c r="I168" s="25" t="s">
        <v>26</v>
      </c>
      <c r="J168" s="25" t="s">
        <v>27</v>
      </c>
      <c r="K168" s="25" t="s">
        <v>28</v>
      </c>
      <c r="L168" s="25" t="s">
        <v>29</v>
      </c>
      <c r="M168" s="25" t="s">
        <v>30</v>
      </c>
      <c r="N168" s="32"/>
      <c r="O168" s="30">
        <v>2</v>
      </c>
      <c r="P168" s="33">
        <f>SUM(F176:F184)/9</f>
        <v>0.42286136643532657</v>
      </c>
    </row>
    <row r="169" spans="1:16" x14ac:dyDescent="0.25">
      <c r="A169" s="27" t="s">
        <v>31</v>
      </c>
      <c r="B169" s="7">
        <f>'Water foot print'!AO122</f>
        <v>0.41421928898483523</v>
      </c>
      <c r="C169" s="7">
        <f>'Water foot print'!AP122</f>
        <v>0.40675094004627255</v>
      </c>
      <c r="D169" s="7">
        <f>'Water foot print'!AQ122</f>
        <v>0.38932487312843628</v>
      </c>
      <c r="E169" s="28">
        <f t="shared" si="42"/>
        <v>1.2102951021595441</v>
      </c>
      <c r="F169" s="28">
        <f t="shared" si="43"/>
        <v>0.40343170071984802</v>
      </c>
      <c r="G169" s="28" t="s">
        <v>32</v>
      </c>
      <c r="H169" s="28">
        <f>B165-1</f>
        <v>2</v>
      </c>
      <c r="I169" s="28">
        <f>D188</f>
        <v>5.6301115750834185E-4</v>
      </c>
      <c r="J169" s="28">
        <f>I169/H169</f>
        <v>2.8150557875417093E-4</v>
      </c>
      <c r="K169" s="28">
        <f>J169/$J$16</f>
        <v>0.56719714398397425</v>
      </c>
      <c r="L169" s="28">
        <f>FINV(0.05,H169,$H$16)</f>
        <v>3.275897990672394</v>
      </c>
      <c r="M169" s="28" t="str">
        <f>IF(K169&gt;=L169, "S", "NS")</f>
        <v>NS</v>
      </c>
      <c r="N169" s="21"/>
      <c r="O169" s="25" t="s">
        <v>33</v>
      </c>
      <c r="P169" s="54">
        <f>SQRT(J174/(3*9))</f>
        <v>4.8845649923595011E-3</v>
      </c>
    </row>
    <row r="170" spans="1:16" x14ac:dyDescent="0.25">
      <c r="A170" s="27" t="s">
        <v>34</v>
      </c>
      <c r="B170" s="7">
        <f>'Water foot print'!AO123</f>
        <v>0.3368206175044654</v>
      </c>
      <c r="C170" s="7">
        <f>'Water foot print'!AP123</f>
        <v>0.33092901825040044</v>
      </c>
      <c r="D170" s="7">
        <f>'Water foot print'!AQ123</f>
        <v>0.31325437206173667</v>
      </c>
      <c r="E170" s="28">
        <f t="shared" si="42"/>
        <v>0.98100400781660246</v>
      </c>
      <c r="F170" s="28">
        <f t="shared" si="43"/>
        <v>0.32700133593886749</v>
      </c>
      <c r="G170" s="28" t="s">
        <v>35</v>
      </c>
      <c r="H170" s="28">
        <f>D164-1</f>
        <v>17</v>
      </c>
      <c r="I170" s="28">
        <f>B189</f>
        <v>0.44203002693788207</v>
      </c>
      <c r="J170" s="28">
        <f t="shared" ref="J170:J174" si="44">I170/H170</f>
        <v>2.6001766290463652E-2</v>
      </c>
      <c r="K170" s="28">
        <f>J170/$J$16</f>
        <v>52.390178708922811</v>
      </c>
      <c r="L170" s="28">
        <f>FINV(0.05,H170,$H$16)</f>
        <v>1.9332068318040869</v>
      </c>
      <c r="M170" s="34" t="str">
        <f t="shared" ref="M170" si="45">IF(K170&gt;=L170, "S", "NS")</f>
        <v>S</v>
      </c>
      <c r="N170" s="25" t="s">
        <v>36</v>
      </c>
      <c r="O170" s="25" t="s">
        <v>37</v>
      </c>
      <c r="P170" s="54">
        <f>SQRT((2*J174)/(3*9))*L175</f>
        <v>1.4038375320727294E-2</v>
      </c>
    </row>
    <row r="171" spans="1:16" x14ac:dyDescent="0.25">
      <c r="A171" s="27" t="s">
        <v>38</v>
      </c>
      <c r="B171" s="7">
        <f>'Water foot print'!AO124</f>
        <v>0.40165793845870346</v>
      </c>
      <c r="C171" s="7">
        <f>'Water foot print'!AP124</f>
        <v>0.42220433813496355</v>
      </c>
      <c r="D171" s="7">
        <f>'Water foot print'!AQ124</f>
        <v>0.39395308090346087</v>
      </c>
      <c r="E171" s="28">
        <f t="shared" si="42"/>
        <v>1.2178153574971278</v>
      </c>
      <c r="F171" s="28">
        <f t="shared" si="43"/>
        <v>0.40593845249904259</v>
      </c>
      <c r="G171" s="28" t="s">
        <v>39</v>
      </c>
      <c r="H171" s="28">
        <f>B163-1</f>
        <v>1</v>
      </c>
      <c r="I171" s="28">
        <f>(SUM(E167:E175)^2+SUM(E176:E184)^2)/27-B187</f>
        <v>5.0904880770506367E-2</v>
      </c>
      <c r="J171" s="28">
        <f t="shared" si="44"/>
        <v>5.0904880770506367E-2</v>
      </c>
      <c r="K171" s="28">
        <f>J171/$J$16</f>
        <v>102.56671685036062</v>
      </c>
      <c r="L171" s="28">
        <f>FINV(0.05,H171,$H$16)</f>
        <v>4.1300177456520188</v>
      </c>
      <c r="M171" s="28" t="str">
        <f>IF(K171&gt;=L171, "S", "NS")</f>
        <v>S</v>
      </c>
      <c r="N171" s="21"/>
      <c r="O171" s="30">
        <v>1</v>
      </c>
      <c r="P171" s="33">
        <f>(F167+F176)/2</f>
        <v>0.20322500258112886</v>
      </c>
    </row>
    <row r="172" spans="1:16" x14ac:dyDescent="0.25">
      <c r="A172" s="27" t="s">
        <v>40</v>
      </c>
      <c r="B172" s="7">
        <f>'Water foot print'!AO125</f>
        <v>0.48905185353827096</v>
      </c>
      <c r="C172" s="7">
        <f>'Water foot print'!AP125</f>
        <v>0.47244774888709395</v>
      </c>
      <c r="D172" s="7">
        <f>'Water foot print'!AQ125</f>
        <v>0.45492127946645516</v>
      </c>
      <c r="E172" s="28">
        <f t="shared" si="42"/>
        <v>1.41642088189182</v>
      </c>
      <c r="F172" s="28">
        <f t="shared" si="43"/>
        <v>0.47214029396394003</v>
      </c>
      <c r="G172" s="28" t="s">
        <v>41</v>
      </c>
      <c r="H172" s="28">
        <f>B164-1</f>
        <v>8</v>
      </c>
      <c r="I172" s="28">
        <f>((E167+E176)^2+(E168+E177)^2+(E169+E178)^2+(E170+E179)^2+(E171+E180)^2+(E172+E181)^2+(E173+E182)^2+(E174+E183)^2+(E175+E184)^2/6)-B187</f>
        <v>39.17167526368565</v>
      </c>
      <c r="J172" s="28">
        <f t="shared" si="44"/>
        <v>4.8964594079607062</v>
      </c>
      <c r="K172" s="28">
        <f>J172/$J$16</f>
        <v>9865.7291415672335</v>
      </c>
      <c r="L172" s="28">
        <f>FINV(0.05,H172,$H$16)</f>
        <v>2.2253399674380931</v>
      </c>
      <c r="M172" s="28" t="str">
        <f>IF(K172&gt;=L172, "S", "NS")</f>
        <v>S</v>
      </c>
      <c r="N172" s="21"/>
      <c r="O172" s="30">
        <v>2</v>
      </c>
      <c r="P172" s="33">
        <f t="shared" ref="P172:P179" si="46">(F168+F177)/2</f>
        <v>0.35780281179402584</v>
      </c>
    </row>
    <row r="173" spans="1:16" x14ac:dyDescent="0.25">
      <c r="A173" s="27" t="s">
        <v>42</v>
      </c>
      <c r="B173" s="7">
        <f>'Water foot print'!AO126</f>
        <v>0.35337669227244478</v>
      </c>
      <c r="C173" s="7">
        <f>'Water foot print'!AP126</f>
        <v>0.34986213850516407</v>
      </c>
      <c r="D173" s="7">
        <f>'Water foot print'!AQ126</f>
        <v>0.36216311002871393</v>
      </c>
      <c r="E173" s="28">
        <f t="shared" si="42"/>
        <v>1.0654019408063227</v>
      </c>
      <c r="F173" s="28">
        <f t="shared" si="43"/>
        <v>0.35513398026877424</v>
      </c>
      <c r="G173" s="38" t="s">
        <v>43</v>
      </c>
      <c r="H173" s="28">
        <f>H171*H172</f>
        <v>8</v>
      </c>
      <c r="I173" s="28">
        <f>I170-(I171+I172)</f>
        <v>-38.780550117518274</v>
      </c>
      <c r="J173" s="28">
        <f t="shared" si="44"/>
        <v>-4.8475687646897843</v>
      </c>
      <c r="K173" s="39">
        <f>J173/$J$16</f>
        <v>-9767.220851417067</v>
      </c>
      <c r="L173" s="28">
        <f>FINV(0.05,H173,$H$16)</f>
        <v>2.2253399674380931</v>
      </c>
      <c r="M173" s="28" t="str">
        <f t="shared" ref="M173" si="47">IF(K173&gt;=L173, "S", "NS")</f>
        <v>NS</v>
      </c>
      <c r="N173" s="21"/>
      <c r="O173" s="30">
        <v>3</v>
      </c>
      <c r="P173" s="33">
        <f t="shared" si="46"/>
        <v>0.43733553869349029</v>
      </c>
    </row>
    <row r="174" spans="1:16" x14ac:dyDescent="0.25">
      <c r="A174" s="27" t="s">
        <v>44</v>
      </c>
      <c r="B174" s="7">
        <f>'Water foot print'!AO127</f>
        <v>0.40262794300590909</v>
      </c>
      <c r="C174" s="7">
        <f>'Water foot print'!AP127</f>
        <v>0.39547293528223648</v>
      </c>
      <c r="D174" s="7">
        <f>'Water foot print'!AQ127</f>
        <v>0.38652920892589082</v>
      </c>
      <c r="E174" s="28">
        <f t="shared" si="42"/>
        <v>1.1846300872140363</v>
      </c>
      <c r="F174" s="28">
        <f t="shared" si="43"/>
        <v>0.3948766957380121</v>
      </c>
      <c r="G174" s="40" t="s">
        <v>45</v>
      </c>
      <c r="H174" s="28">
        <f>((B165-1)*(B163*B164-1))</f>
        <v>34</v>
      </c>
      <c r="I174" s="28">
        <f>D189</f>
        <v>2.1902539201088089E-2</v>
      </c>
      <c r="J174" s="28">
        <f t="shared" si="44"/>
        <v>6.4419232944376733E-4</v>
      </c>
      <c r="O174" s="30">
        <v>4</v>
      </c>
      <c r="P174" s="33">
        <f t="shared" si="46"/>
        <v>0.3513023700742367</v>
      </c>
    </row>
    <row r="175" spans="1:16" x14ac:dyDescent="0.25">
      <c r="A175" s="27" t="s">
        <v>46</v>
      </c>
      <c r="B175" s="7">
        <f>'Water foot print'!AO128</f>
        <v>0.37095074658518468</v>
      </c>
      <c r="C175" s="7">
        <f>'Water foot print'!AP128</f>
        <v>0.34586077510162005</v>
      </c>
      <c r="D175" s="7">
        <f>'Water foot print'!AQ128</f>
        <v>0.32448820692219699</v>
      </c>
      <c r="E175" s="28">
        <f t="shared" si="42"/>
        <v>1.0412997286090018</v>
      </c>
      <c r="F175" s="28">
        <f t="shared" si="43"/>
        <v>0.34709990953633391</v>
      </c>
      <c r="G175" s="39" t="s">
        <v>20</v>
      </c>
      <c r="H175" s="28">
        <f>SUM(H169:H174)-H170</f>
        <v>53</v>
      </c>
      <c r="I175" s="28">
        <f>B188</f>
        <v>0.4644955772964785</v>
      </c>
      <c r="K175" s="28" t="s">
        <v>47</v>
      </c>
      <c r="L175" s="16">
        <f>TINV(0.05,34)</f>
        <v>2.0322445093177191</v>
      </c>
      <c r="O175" s="30">
        <v>5</v>
      </c>
      <c r="P175" s="33">
        <f t="shared" si="46"/>
        <v>0.42588123735208938</v>
      </c>
    </row>
    <row r="176" spans="1:16" x14ac:dyDescent="0.25">
      <c r="A176" s="27" t="s">
        <v>48</v>
      </c>
      <c r="B176" s="7">
        <f>'Water foot print'!AO129</f>
        <v>0.18653215753266544</v>
      </c>
      <c r="C176" s="7">
        <f>'Water foot print'!AP129</f>
        <v>0.20925068622229506</v>
      </c>
      <c r="D176" s="7">
        <f>'Water foot print'!AQ129</f>
        <v>0.24469493710582249</v>
      </c>
      <c r="E176" s="28">
        <f t="shared" si="42"/>
        <v>0.640477780860783</v>
      </c>
      <c r="F176" s="28">
        <f t="shared" si="43"/>
        <v>0.21349259362026099</v>
      </c>
      <c r="G176" s="42" t="s">
        <v>33</v>
      </c>
      <c r="H176" s="28">
        <f>SQRT(J174/3)</f>
        <v>1.4653694977078505E-2</v>
      </c>
      <c r="O176" s="30">
        <v>6</v>
      </c>
      <c r="P176" s="33">
        <f t="shared" si="46"/>
        <v>0.52767110618108182</v>
      </c>
    </row>
    <row r="177" spans="1:16" x14ac:dyDescent="0.25">
      <c r="A177" s="27" t="s">
        <v>49</v>
      </c>
      <c r="B177" s="7">
        <f>'Water foot print'!AO130</f>
        <v>0.376737969186276</v>
      </c>
      <c r="C177" s="7">
        <f>'Water foot print'!AP130</f>
        <v>0.33260980489029635</v>
      </c>
      <c r="D177" s="7">
        <f>'Water foot print'!AQ130</f>
        <v>0.37392125425686668</v>
      </c>
      <c r="E177" s="28">
        <f t="shared" si="42"/>
        <v>1.083269028333439</v>
      </c>
      <c r="F177" s="28">
        <f t="shared" si="43"/>
        <v>0.36108967611114634</v>
      </c>
      <c r="G177" s="42" t="s">
        <v>37</v>
      </c>
      <c r="H177" s="28">
        <f>(SQRT((2*J174)/3))*L175</f>
        <v>4.2115125962181879E-2</v>
      </c>
      <c r="O177" s="30">
        <v>7</v>
      </c>
      <c r="P177" s="33">
        <f t="shared" si="46"/>
        <v>0.39105103339012615</v>
      </c>
    </row>
    <row r="178" spans="1:16" x14ac:dyDescent="0.25">
      <c r="A178" s="27" t="s">
        <v>50</v>
      </c>
      <c r="B178" s="7">
        <f>'Water foot print'!AO131</f>
        <v>0.4840088968179998</v>
      </c>
      <c r="C178" s="7">
        <f>'Water foot print'!AP131</f>
        <v>0.48941141598442356</v>
      </c>
      <c r="D178" s="7">
        <f>'Water foot print'!AQ131</f>
        <v>0.44029781719897437</v>
      </c>
      <c r="E178" s="28">
        <f t="shared" si="42"/>
        <v>1.4137181300013977</v>
      </c>
      <c r="F178" s="28">
        <f t="shared" si="43"/>
        <v>0.47123937666713256</v>
      </c>
      <c r="G178" s="42" t="s">
        <v>51</v>
      </c>
      <c r="H178" s="28">
        <f>((SQRT(J174))/F185)*100</f>
        <v>6.4721183156732227</v>
      </c>
      <c r="O178" s="30">
        <v>8</v>
      </c>
      <c r="P178" s="33">
        <f t="shared" si="46"/>
        <v>0.44322866679863882</v>
      </c>
    </row>
    <row r="179" spans="1:16" x14ac:dyDescent="0.25">
      <c r="A179" s="27" t="s">
        <v>52</v>
      </c>
      <c r="B179" s="7">
        <f>'Water foot print'!AO132</f>
        <v>0.3876145052615641</v>
      </c>
      <c r="C179" s="7">
        <f>'Water foot print'!AP132</f>
        <v>0.38160893016816172</v>
      </c>
      <c r="D179" s="7">
        <f>'Water foot print'!AQ132</f>
        <v>0.35758677719909193</v>
      </c>
      <c r="E179" s="28">
        <f t="shared" si="42"/>
        <v>1.1268102126288178</v>
      </c>
      <c r="F179" s="28">
        <f t="shared" si="43"/>
        <v>0.37560340420960592</v>
      </c>
      <c r="O179" s="30">
        <v>9</v>
      </c>
      <c r="P179" s="33">
        <f t="shared" si="46"/>
        <v>0.39192624593601205</v>
      </c>
    </row>
    <row r="180" spans="1:16" x14ac:dyDescent="0.25">
      <c r="A180" s="27" t="s">
        <v>53</v>
      </c>
      <c r="B180" s="7">
        <f>'Water foot print'!AO133</f>
        <v>0.39073093149698368</v>
      </c>
      <c r="C180" s="7">
        <f>'Water foot print'!AP133</f>
        <v>0.49403068606602457</v>
      </c>
      <c r="D180" s="7">
        <f>'Water foot print'!AQ133</f>
        <v>0.45271044905240027</v>
      </c>
      <c r="E180" s="28">
        <f t="shared" si="42"/>
        <v>1.3374720666154085</v>
      </c>
      <c r="F180" s="28">
        <f t="shared" si="43"/>
        <v>0.44582402220513617</v>
      </c>
      <c r="O180" s="25" t="s">
        <v>33</v>
      </c>
      <c r="P180" s="54">
        <f>SQRT(J174/(3*2))</f>
        <v>1.036172708773146E-2</v>
      </c>
    </row>
    <row r="181" spans="1:16" x14ac:dyDescent="0.25">
      <c r="A181" s="27" t="s">
        <v>55</v>
      </c>
      <c r="B181" s="7">
        <f>'Water foot print'!AO134</f>
        <v>0.55867021508400916</v>
      </c>
      <c r="C181" s="7">
        <f>'Water foot print'!AP134</f>
        <v>0.62876081233546455</v>
      </c>
      <c r="D181" s="7">
        <f>'Water foot print'!AQ134</f>
        <v>0.56217472777519706</v>
      </c>
      <c r="E181" s="28">
        <f t="shared" si="42"/>
        <v>1.7496057551946707</v>
      </c>
      <c r="F181" s="28">
        <f t="shared" si="43"/>
        <v>0.58320191839822355</v>
      </c>
      <c r="G181" s="43"/>
      <c r="N181" s="25" t="s">
        <v>41</v>
      </c>
      <c r="O181" s="25" t="s">
        <v>37</v>
      </c>
      <c r="P181" s="54">
        <f>SQRT((2*J174)/(3*2))*L175</f>
        <v>2.977989115838443E-2</v>
      </c>
    </row>
    <row r="182" spans="1:16" x14ac:dyDescent="0.25">
      <c r="A182" s="27" t="s">
        <v>56</v>
      </c>
      <c r="B182" s="7">
        <f>'Water foot print'!AO135</f>
        <v>0.43989815228025608</v>
      </c>
      <c r="C182" s="7">
        <f>'Water foot print'!AP135</f>
        <v>0.38925523850250743</v>
      </c>
      <c r="D182" s="7">
        <f>'Water foot print'!AQ135</f>
        <v>0.45175086875167064</v>
      </c>
      <c r="E182" s="28">
        <f t="shared" si="42"/>
        <v>1.2809042595344342</v>
      </c>
      <c r="F182" s="28">
        <f>E182/3</f>
        <v>0.42696808651147805</v>
      </c>
      <c r="G182" s="43"/>
    </row>
    <row r="183" spans="1:16" x14ac:dyDescent="0.25">
      <c r="A183" s="27" t="s">
        <v>57</v>
      </c>
      <c r="B183" s="7">
        <f>'Water foot print'!AO136</f>
        <v>0.47310505253395857</v>
      </c>
      <c r="C183" s="7">
        <f>'Water foot print'!AP136</f>
        <v>0.48554775960307711</v>
      </c>
      <c r="D183" s="7">
        <f>'Water foot print'!AQ136</f>
        <v>0.51608910144076092</v>
      </c>
      <c r="E183" s="28">
        <f t="shared" si="42"/>
        <v>1.4747419135777966</v>
      </c>
      <c r="F183" s="28">
        <f t="shared" ref="F183:F184" si="48">E183/3</f>
        <v>0.49158063785926553</v>
      </c>
      <c r="G183" s="43"/>
    </row>
    <row r="184" spans="1:16" x14ac:dyDescent="0.25">
      <c r="A184" s="27" t="s">
        <v>58</v>
      </c>
      <c r="B184" s="7">
        <f>'Water foot print'!AO137</f>
        <v>0.42918640972916444</v>
      </c>
      <c r="C184" s="7">
        <f>'Water foot print'!AP137</f>
        <v>0.46502598597518879</v>
      </c>
      <c r="D184" s="7">
        <f>'Water foot print'!AQ137</f>
        <v>0.41604535130271741</v>
      </c>
      <c r="E184" s="28">
        <f t="shared" si="42"/>
        <v>1.3102577470070707</v>
      </c>
      <c r="F184" s="28">
        <f t="shared" si="48"/>
        <v>0.4367525823356902</v>
      </c>
      <c r="G184" s="43"/>
    </row>
    <row r="185" spans="1:16" x14ac:dyDescent="0.25">
      <c r="A185" s="25" t="s">
        <v>20</v>
      </c>
      <c r="B185" s="28">
        <f>SUM(B167:B184)</f>
        <v>7.0381254228579291</v>
      </c>
      <c r="C185" s="28">
        <f t="shared" ref="C185:D185" si="49">SUM(C167:C184)</f>
        <v>7.1380935103483649</v>
      </c>
      <c r="D185" s="28">
        <f t="shared" si="49"/>
        <v>7.0003251435986842</v>
      </c>
      <c r="E185" s="28">
        <f>SUM(E167:E184)</f>
        <v>21.17654407680498</v>
      </c>
      <c r="F185" s="28">
        <f>AVERAGE(B167:D184)</f>
        <v>0.39215822364453679</v>
      </c>
      <c r="G185" s="43"/>
    </row>
    <row r="186" spans="1:16" x14ac:dyDescent="0.25">
      <c r="A186" s="25" t="s">
        <v>11</v>
      </c>
      <c r="B186" s="28">
        <f>B185/18</f>
        <v>0.3910069679365516</v>
      </c>
      <c r="C186" s="28">
        <f>C185/18</f>
        <v>0.39656075057490914</v>
      </c>
      <c r="D186" s="28">
        <f>D185/18</f>
        <v>0.38890695242214912</v>
      </c>
      <c r="G186" s="43"/>
    </row>
    <row r="187" spans="1:16" x14ac:dyDescent="0.25">
      <c r="A187" s="25" t="s">
        <v>59</v>
      </c>
      <c r="B187" s="28">
        <f>(E185*E185)/54</f>
        <v>8.3045559080900748</v>
      </c>
      <c r="C187" s="28"/>
      <c r="D187" s="28"/>
      <c r="G187" s="43"/>
    </row>
    <row r="188" spans="1:16" x14ac:dyDescent="0.25">
      <c r="A188" s="25" t="s">
        <v>60</v>
      </c>
      <c r="B188" s="28">
        <f>SUMSQ(B167:D184)-B187</f>
        <v>0.4644955772964785</v>
      </c>
      <c r="C188" s="25" t="s">
        <v>61</v>
      </c>
      <c r="D188" s="28">
        <f>(SUMSQ(B185:D185)/18)-B187</f>
        <v>5.6301115750834185E-4</v>
      </c>
      <c r="G188" s="43"/>
    </row>
    <row r="189" spans="1:16" x14ac:dyDescent="0.25">
      <c r="A189" s="25" t="s">
        <v>62</v>
      </c>
      <c r="B189" s="28">
        <f>(SUMSQ(E167:E184)/3)-B187</f>
        <v>0.44203002693788207</v>
      </c>
      <c r="C189" s="25" t="s">
        <v>63</v>
      </c>
      <c r="D189" s="28">
        <f>B188-B189-D188</f>
        <v>2.1902539201088089E-2</v>
      </c>
      <c r="G189" s="43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Q33"/>
  <sheetViews>
    <sheetView topLeftCell="A3" workbookViewId="0">
      <selection activeCell="O36" sqref="O36"/>
    </sheetView>
  </sheetViews>
  <sheetFormatPr defaultRowHeight="15" x14ac:dyDescent="0.25"/>
  <sheetData>
    <row r="5" spans="5:17" ht="18.75" x14ac:dyDescent="0.3">
      <c r="E5" s="60" t="s">
        <v>105</v>
      </c>
    </row>
    <row r="7" spans="5:17" ht="15.75" x14ac:dyDescent="0.25">
      <c r="E7" s="50">
        <v>2019</v>
      </c>
      <c r="F7" s="50">
        <v>2020</v>
      </c>
    </row>
    <row r="8" spans="5:17" x14ac:dyDescent="0.25">
      <c r="E8" s="8">
        <v>0</v>
      </c>
      <c r="F8" s="6">
        <v>0.2</v>
      </c>
    </row>
    <row r="9" spans="5:17" x14ac:dyDescent="0.25">
      <c r="E9" s="8">
        <v>2.1</v>
      </c>
      <c r="F9" s="6">
        <v>1.1000000000000001</v>
      </c>
    </row>
    <row r="10" spans="5:17" x14ac:dyDescent="0.25">
      <c r="E10" s="8">
        <v>0</v>
      </c>
      <c r="F10" s="6">
        <v>7.2</v>
      </c>
    </row>
    <row r="11" spans="5:17" x14ac:dyDescent="0.25">
      <c r="E11" s="6">
        <v>0</v>
      </c>
      <c r="F11" s="6">
        <v>30.3</v>
      </c>
    </row>
    <row r="12" spans="5:17" x14ac:dyDescent="0.25">
      <c r="E12" s="8">
        <v>92.3</v>
      </c>
      <c r="F12" s="6">
        <v>150.4</v>
      </c>
      <c r="I12" s="61" t="s">
        <v>106</v>
      </c>
      <c r="J12" s="62" t="s">
        <v>107</v>
      </c>
      <c r="K12" s="62" t="s">
        <v>108</v>
      </c>
      <c r="L12" s="62" t="s">
        <v>109</v>
      </c>
      <c r="M12" s="62" t="s">
        <v>110</v>
      </c>
      <c r="N12" s="62" t="s">
        <v>111</v>
      </c>
      <c r="O12" s="62" t="s">
        <v>112</v>
      </c>
      <c r="P12" s="62" t="s">
        <v>113</v>
      </c>
      <c r="Q12" s="62" t="s">
        <v>114</v>
      </c>
    </row>
    <row r="13" spans="5:17" x14ac:dyDescent="0.25">
      <c r="E13" s="8">
        <v>8.4</v>
      </c>
      <c r="F13" s="6">
        <v>23</v>
      </c>
      <c r="I13" s="63">
        <v>24</v>
      </c>
      <c r="J13" s="8">
        <v>41.285714285714285</v>
      </c>
      <c r="K13" s="8">
        <v>26.714285714285715</v>
      </c>
      <c r="L13" s="8">
        <v>84</v>
      </c>
      <c r="M13" s="8">
        <v>60.68571428571429</v>
      </c>
      <c r="N13" s="8">
        <v>10.028571428571428</v>
      </c>
      <c r="O13" s="8">
        <v>295.71428571428572</v>
      </c>
      <c r="P13" s="8">
        <v>9.0714285714285712</v>
      </c>
      <c r="Q13" s="8">
        <v>0</v>
      </c>
    </row>
    <row r="14" spans="5:17" x14ac:dyDescent="0.25">
      <c r="E14" s="8">
        <v>150</v>
      </c>
      <c r="F14" s="8">
        <v>19.100000000000001</v>
      </c>
      <c r="I14" s="63">
        <v>25</v>
      </c>
      <c r="J14" s="8">
        <v>39</v>
      </c>
      <c r="K14" s="8">
        <v>25.428571428571427</v>
      </c>
      <c r="L14" s="8">
        <v>71</v>
      </c>
      <c r="M14" s="8">
        <v>44.142857142857146</v>
      </c>
      <c r="N14" s="8">
        <v>17.614285714285714</v>
      </c>
      <c r="O14" s="8">
        <v>302.14285714285717</v>
      </c>
      <c r="P14" s="8">
        <v>8.6428571428571423</v>
      </c>
      <c r="Q14" s="8">
        <v>2.1</v>
      </c>
    </row>
    <row r="15" spans="5:17" x14ac:dyDescent="0.25">
      <c r="E15" s="8">
        <v>48</v>
      </c>
      <c r="F15" s="8">
        <v>12.1</v>
      </c>
      <c r="I15" s="63">
        <v>26</v>
      </c>
      <c r="J15" s="8">
        <v>41.285714285714285</v>
      </c>
      <c r="K15" s="8">
        <v>26.357142857142858</v>
      </c>
      <c r="L15" s="8">
        <v>84</v>
      </c>
      <c r="M15" s="8">
        <v>60.68571428571429</v>
      </c>
      <c r="N15" s="8">
        <v>10.028571428571428</v>
      </c>
      <c r="O15" s="8">
        <v>186.42857142857142</v>
      </c>
      <c r="P15" s="8">
        <v>9.0714285714285712</v>
      </c>
      <c r="Q15" s="8">
        <v>0</v>
      </c>
    </row>
    <row r="16" spans="5:17" x14ac:dyDescent="0.25">
      <c r="E16" s="8">
        <v>92</v>
      </c>
      <c r="F16" s="8">
        <v>61.499999999999993</v>
      </c>
      <c r="I16" s="63">
        <v>27</v>
      </c>
      <c r="J16" s="8">
        <v>40.142857142857146</v>
      </c>
      <c r="K16" s="8">
        <v>25.114285714285717</v>
      </c>
      <c r="L16" s="8">
        <v>84.285714285714292</v>
      </c>
      <c r="M16" s="8">
        <v>46.571428571428569</v>
      </c>
      <c r="N16" s="8">
        <v>13.785714285714283</v>
      </c>
      <c r="O16" s="8">
        <v>205.71428571428572</v>
      </c>
      <c r="P16" s="8">
        <v>7.6142857142857139</v>
      </c>
      <c r="Q16" s="6">
        <v>0</v>
      </c>
    </row>
    <row r="17" spans="5:17" x14ac:dyDescent="0.25">
      <c r="E17" s="8">
        <v>64</v>
      </c>
      <c r="F17" s="8">
        <v>55.3</v>
      </c>
      <c r="I17" s="63">
        <v>28</v>
      </c>
      <c r="J17" s="8">
        <v>36.142857142857146</v>
      </c>
      <c r="K17" s="8">
        <v>24.199999999999996</v>
      </c>
      <c r="L17" s="8">
        <v>90.285714285714292</v>
      </c>
      <c r="M17" s="8">
        <v>69.285714285714292</v>
      </c>
      <c r="N17" s="8">
        <v>15.287142857142856</v>
      </c>
      <c r="O17" s="8">
        <v>295.71428571428572</v>
      </c>
      <c r="P17" s="8">
        <v>3.1428571428571428</v>
      </c>
      <c r="Q17" s="6">
        <v>92.3</v>
      </c>
    </row>
    <row r="18" spans="5:17" x14ac:dyDescent="0.25">
      <c r="E18" s="6">
        <v>3.2</v>
      </c>
      <c r="F18" s="8">
        <v>0.2</v>
      </c>
      <c r="I18" s="63">
        <v>29</v>
      </c>
      <c r="J18" s="8">
        <v>36.428571428571431</v>
      </c>
      <c r="K18" s="8">
        <v>23.928571428571427</v>
      </c>
      <c r="L18" s="8">
        <v>87.285714285714292</v>
      </c>
      <c r="M18" s="8">
        <v>50.571428571428569</v>
      </c>
      <c r="N18" s="8">
        <v>9.1285714285714299</v>
      </c>
      <c r="O18" s="8">
        <v>276.42857142857144</v>
      </c>
      <c r="P18" s="8">
        <v>8</v>
      </c>
      <c r="Q18" s="6">
        <v>8.4</v>
      </c>
    </row>
    <row r="19" spans="5:17" x14ac:dyDescent="0.25">
      <c r="E19" s="6">
        <v>88</v>
      </c>
      <c r="F19" s="8">
        <v>4.3</v>
      </c>
      <c r="I19" s="63">
        <v>30</v>
      </c>
      <c r="J19" s="8">
        <v>35.285714285714285</v>
      </c>
      <c r="K19" s="8">
        <v>24.5</v>
      </c>
      <c r="L19" s="8">
        <v>93.714285714285708</v>
      </c>
      <c r="M19" s="8">
        <v>68</v>
      </c>
      <c r="N19" s="8">
        <v>12.738571428571429</v>
      </c>
      <c r="O19" s="8">
        <v>295.71428571428572</v>
      </c>
      <c r="P19" s="8">
        <v>3</v>
      </c>
      <c r="Q19" s="6">
        <v>150</v>
      </c>
    </row>
    <row r="20" spans="5:17" x14ac:dyDescent="0.25">
      <c r="E20" s="6">
        <v>0</v>
      </c>
      <c r="F20" s="8">
        <v>5.0999999999999996</v>
      </c>
      <c r="I20" s="63">
        <v>31</v>
      </c>
      <c r="J20" s="8">
        <v>35.857142857142854</v>
      </c>
      <c r="K20" s="8">
        <v>25.24285714285714</v>
      </c>
      <c r="L20" s="8">
        <v>90</v>
      </c>
      <c r="M20" s="8">
        <v>46.571428571428569</v>
      </c>
      <c r="N20" s="8">
        <v>16.527142857142856</v>
      </c>
      <c r="O20" s="8">
        <v>295.71428571428572</v>
      </c>
      <c r="P20" s="8">
        <v>2.3285714285714287</v>
      </c>
      <c r="Q20" s="6">
        <v>48</v>
      </c>
    </row>
    <row r="21" spans="5:17" x14ac:dyDescent="0.25">
      <c r="E21" s="6">
        <v>0</v>
      </c>
      <c r="F21" s="8">
        <v>0</v>
      </c>
      <c r="I21" s="63">
        <v>32</v>
      </c>
      <c r="J21" s="8">
        <v>34.028571428571425</v>
      </c>
      <c r="K21" s="8">
        <v>25.185714285714287</v>
      </c>
      <c r="L21" s="8">
        <v>94.757142857142867</v>
      </c>
      <c r="M21" s="8">
        <v>67.628571428571433</v>
      </c>
      <c r="N21" s="8">
        <v>4.3273809523809508</v>
      </c>
      <c r="O21" s="8">
        <v>131.78571428571428</v>
      </c>
      <c r="P21" s="8">
        <v>3.9142857142857141</v>
      </c>
      <c r="Q21" s="6">
        <v>92</v>
      </c>
    </row>
    <row r="22" spans="5:17" x14ac:dyDescent="0.25">
      <c r="E22" s="6">
        <v>2.2999999999999998</v>
      </c>
      <c r="F22" s="8">
        <v>0</v>
      </c>
      <c r="I22" s="63">
        <v>33</v>
      </c>
      <c r="J22" s="8">
        <v>32</v>
      </c>
      <c r="K22" s="8">
        <v>24.38571428571429</v>
      </c>
      <c r="L22" s="8">
        <v>94.98571428571428</v>
      </c>
      <c r="M22" s="8">
        <v>86.685714285714297</v>
      </c>
      <c r="N22" s="8">
        <v>2.1684523809523819</v>
      </c>
      <c r="O22" s="8">
        <v>138.21428571428572</v>
      </c>
      <c r="P22" s="8">
        <v>4.5714285714285712</v>
      </c>
      <c r="Q22" s="6">
        <v>64</v>
      </c>
    </row>
    <row r="23" spans="5:17" x14ac:dyDescent="0.25">
      <c r="E23" s="6">
        <v>14.4</v>
      </c>
      <c r="F23" s="8">
        <v>0</v>
      </c>
      <c r="I23" s="63">
        <v>34</v>
      </c>
      <c r="J23" s="8">
        <v>33.714285714285715</v>
      </c>
      <c r="K23" s="8">
        <v>24.528571428571432</v>
      </c>
      <c r="L23" s="8">
        <v>94.828571428571436</v>
      </c>
      <c r="M23" s="8">
        <v>71.342857142857142</v>
      </c>
      <c r="N23" s="8">
        <v>1.1821428571428592</v>
      </c>
      <c r="O23" s="8">
        <v>189.64285714285714</v>
      </c>
      <c r="P23" s="8">
        <v>7.371428571428571</v>
      </c>
      <c r="Q23" s="6">
        <v>3.2</v>
      </c>
    </row>
    <row r="24" spans="5:17" x14ac:dyDescent="0.25">
      <c r="E24" s="6">
        <v>22.9</v>
      </c>
      <c r="F24" s="8">
        <v>0</v>
      </c>
      <c r="I24" s="63">
        <v>35</v>
      </c>
      <c r="J24" s="8">
        <v>34.828571428571429</v>
      </c>
      <c r="K24" s="8">
        <v>25.214285714285715</v>
      </c>
      <c r="L24" s="8">
        <v>93.342857142857142</v>
      </c>
      <c r="M24" s="8">
        <v>70.728571428571428</v>
      </c>
      <c r="N24" s="8">
        <v>0.72559523809523596</v>
      </c>
      <c r="O24" s="8">
        <v>90</v>
      </c>
      <c r="P24" s="8">
        <v>8.7142857142857135</v>
      </c>
      <c r="Q24" s="6">
        <v>88</v>
      </c>
    </row>
    <row r="25" spans="5:17" x14ac:dyDescent="0.25">
      <c r="E25" s="6">
        <v>0</v>
      </c>
      <c r="F25" s="8">
        <v>0</v>
      </c>
      <c r="I25" s="63">
        <v>36</v>
      </c>
      <c r="J25" s="8">
        <v>34.371428571428574</v>
      </c>
      <c r="K25" s="8">
        <v>25.371428571428574</v>
      </c>
      <c r="L25" s="8">
        <v>95.757142857142853</v>
      </c>
      <c r="M25" s="8">
        <v>75.985714285714295</v>
      </c>
      <c r="N25" s="8">
        <v>0.68452380952380942</v>
      </c>
      <c r="O25" s="8">
        <v>135</v>
      </c>
      <c r="P25" s="8">
        <v>6.7000000000000011</v>
      </c>
      <c r="Q25" s="6">
        <v>0</v>
      </c>
    </row>
    <row r="26" spans="5:17" x14ac:dyDescent="0.25">
      <c r="E26" s="6">
        <v>0</v>
      </c>
      <c r="F26" s="8">
        <v>0</v>
      </c>
      <c r="I26" s="63">
        <v>37</v>
      </c>
      <c r="J26" s="8">
        <v>34.528571428571425</v>
      </c>
      <c r="K26" s="8">
        <v>25.014285714285712</v>
      </c>
      <c r="L26" s="8">
        <v>94.771428571428572</v>
      </c>
      <c r="M26" s="8">
        <v>71.400000000000006</v>
      </c>
      <c r="N26" s="8">
        <v>0.5113095238095271</v>
      </c>
      <c r="O26" s="8">
        <v>151.07142857142858</v>
      </c>
      <c r="P26" s="8">
        <v>7.2571428571428589</v>
      </c>
      <c r="Q26" s="6">
        <v>0</v>
      </c>
    </row>
    <row r="27" spans="5:17" x14ac:dyDescent="0.25">
      <c r="E27" s="6">
        <v>0</v>
      </c>
      <c r="F27" s="8">
        <v>0</v>
      </c>
      <c r="I27" s="63">
        <v>38</v>
      </c>
      <c r="J27" s="8">
        <v>33.5</v>
      </c>
      <c r="K27" s="8">
        <v>23.214285714285715</v>
      </c>
      <c r="L27" s="8">
        <v>93.657142857142858</v>
      </c>
      <c r="M27" s="8">
        <v>62.414285714285718</v>
      </c>
      <c r="N27" s="8">
        <v>0.65119047619047399</v>
      </c>
      <c r="O27" s="8">
        <v>118.92857142857143</v>
      </c>
      <c r="P27" s="8">
        <v>8.5</v>
      </c>
      <c r="Q27" s="6">
        <v>2.2999999999999998</v>
      </c>
    </row>
    <row r="28" spans="5:17" x14ac:dyDescent="0.25">
      <c r="E28" s="6">
        <v>0</v>
      </c>
      <c r="F28" s="8">
        <v>0</v>
      </c>
      <c r="I28" s="63">
        <v>39</v>
      </c>
      <c r="J28" s="8">
        <v>31.400000000000002</v>
      </c>
      <c r="K28" s="8">
        <v>22.585714285714289</v>
      </c>
      <c r="L28" s="8">
        <v>94.842857142857127</v>
      </c>
      <c r="M28" s="8">
        <v>72.314285714285703</v>
      </c>
      <c r="N28" s="8">
        <v>0.92083333333333228</v>
      </c>
      <c r="O28" s="8">
        <v>122.14285714285714</v>
      </c>
      <c r="P28" s="8">
        <v>6</v>
      </c>
      <c r="Q28" s="6">
        <v>14.4</v>
      </c>
    </row>
    <row r="29" spans="5:17" ht="15.75" x14ac:dyDescent="0.25">
      <c r="E29" s="64">
        <f>SUM(E8:E28)</f>
        <v>587.59999999999991</v>
      </c>
      <c r="F29" s="50">
        <f>SUM(F8:F28)</f>
        <v>369.8</v>
      </c>
      <c r="I29" s="63">
        <v>40</v>
      </c>
      <c r="J29" s="8">
        <v>31.214285714285715</v>
      </c>
      <c r="K29" s="8">
        <v>20.557142857142857</v>
      </c>
      <c r="L29" s="8">
        <v>95.185714285714283</v>
      </c>
      <c r="M29" s="8">
        <v>60.714285714285715</v>
      </c>
      <c r="N29" s="8">
        <v>1.1434523809523829</v>
      </c>
      <c r="O29" s="8">
        <v>186.42857142857142</v>
      </c>
      <c r="P29" s="8">
        <v>7.9571428571428564</v>
      </c>
      <c r="Q29" s="6">
        <v>22.9</v>
      </c>
    </row>
    <row r="30" spans="5:17" x14ac:dyDescent="0.25">
      <c r="I30" s="63">
        <v>41</v>
      </c>
      <c r="J30" s="8">
        <v>31.942857142857143</v>
      </c>
      <c r="K30" s="8">
        <v>18.942857142857143</v>
      </c>
      <c r="L30" s="8">
        <v>93.528571428571439</v>
      </c>
      <c r="M30" s="8">
        <v>57.01428571428572</v>
      </c>
      <c r="N30" s="8">
        <v>0.84464285714285492</v>
      </c>
      <c r="O30" s="8">
        <v>196.07142857142858</v>
      </c>
      <c r="P30" s="8">
        <v>8.5571428571428569</v>
      </c>
      <c r="Q30" s="6">
        <v>0</v>
      </c>
    </row>
    <row r="31" spans="5:17" x14ac:dyDescent="0.25">
      <c r="I31" s="63">
        <v>42</v>
      </c>
      <c r="J31" s="8">
        <v>32.042857142857144</v>
      </c>
      <c r="K31" s="8">
        <v>18.471428571428572</v>
      </c>
      <c r="L31" s="8">
        <v>94.742857142857147</v>
      </c>
      <c r="M31" s="8">
        <v>60.957142857142863</v>
      </c>
      <c r="N31" s="8">
        <v>0.58869047619047943</v>
      </c>
      <c r="O31" s="8">
        <v>125.35714285714286</v>
      </c>
      <c r="P31" s="8">
        <v>6.742857142857142</v>
      </c>
      <c r="Q31" s="6">
        <v>0</v>
      </c>
    </row>
    <row r="32" spans="5:17" x14ac:dyDescent="0.25">
      <c r="I32" s="63">
        <v>43</v>
      </c>
      <c r="J32" s="8">
        <v>30.071428571428573</v>
      </c>
      <c r="K32" s="8">
        <v>15.87142857142857</v>
      </c>
      <c r="L32" s="8">
        <v>94.185714285714283</v>
      </c>
      <c r="M32" s="8">
        <v>50.857142857142854</v>
      </c>
      <c r="N32" s="8">
        <v>1.2005952380952372</v>
      </c>
      <c r="O32" s="8">
        <v>163.92857142857142</v>
      </c>
      <c r="P32" s="8">
        <v>6.8857142857142861</v>
      </c>
      <c r="Q32" s="6">
        <v>0</v>
      </c>
    </row>
    <row r="33" spans="9:17" x14ac:dyDescent="0.25">
      <c r="I33" s="63">
        <v>44</v>
      </c>
      <c r="J33" s="8">
        <v>29.771428571428572</v>
      </c>
      <c r="K33" s="8">
        <v>15.757142857142856</v>
      </c>
      <c r="L33" s="8">
        <v>93.742857142857147</v>
      </c>
      <c r="M33" s="8">
        <v>53.74285714285714</v>
      </c>
      <c r="N33" s="8">
        <v>0.64583333333333326</v>
      </c>
      <c r="O33" s="8">
        <v>163.92857142857142</v>
      </c>
      <c r="P33" s="8">
        <v>7.8428571428571434</v>
      </c>
      <c r="Q33" s="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56"/>
  <sheetViews>
    <sheetView tabSelected="1" workbookViewId="0">
      <selection activeCell="I246" sqref="I246"/>
    </sheetView>
  </sheetViews>
  <sheetFormatPr defaultColWidth="8.85546875" defaultRowHeight="15" x14ac:dyDescent="0.25"/>
  <cols>
    <col min="1" max="1" width="17.7109375" style="15" bestFit="1" customWidth="1"/>
    <col min="2" max="2" width="11.28515625" style="16" bestFit="1" customWidth="1"/>
    <col min="3" max="3" width="11.42578125" style="16" customWidth="1"/>
    <col min="4" max="4" width="9.5703125" style="16" bestFit="1" customWidth="1"/>
    <col min="5" max="6" width="9.140625" style="16" bestFit="1" customWidth="1"/>
    <col min="7" max="7" width="10.7109375" style="16" bestFit="1" customWidth="1"/>
    <col min="8" max="8" width="9.140625" style="16" bestFit="1" customWidth="1"/>
    <col min="9" max="9" width="13.42578125" style="16" customWidth="1"/>
    <col min="10" max="10" width="11.28515625" style="16" bestFit="1" customWidth="1"/>
    <col min="11" max="11" width="10.28515625" style="16" bestFit="1" customWidth="1"/>
    <col min="12" max="12" width="9.140625" style="16" bestFit="1" customWidth="1"/>
    <col min="13" max="13" width="9.5703125" style="16" bestFit="1" customWidth="1"/>
    <col min="14" max="14" width="9.5703125" style="16" customWidth="1"/>
    <col min="15" max="15" width="9.140625" style="16" bestFit="1" customWidth="1"/>
    <col min="16" max="16" width="12.28515625" style="16" bestFit="1" customWidth="1"/>
    <col min="17" max="17" width="9.85546875" style="15" customWidth="1"/>
    <col min="18" max="16384" width="8.85546875" style="15"/>
  </cols>
  <sheetData>
    <row r="2" spans="1:28" x14ac:dyDescent="0.25">
      <c r="C2" s="17">
        <v>2019</v>
      </c>
    </row>
    <row r="3" spans="1:28" ht="15.75" x14ac:dyDescent="0.25">
      <c r="C3" s="18" t="s">
        <v>12</v>
      </c>
    </row>
    <row r="5" spans="1:28" x14ac:dyDescent="0.25">
      <c r="A5" s="19" t="s">
        <v>13</v>
      </c>
      <c r="B5" s="20">
        <v>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1"/>
      <c r="P5" s="21"/>
    </row>
    <row r="6" spans="1:28" x14ac:dyDescent="0.25">
      <c r="A6" s="19" t="s">
        <v>14</v>
      </c>
      <c r="B6" s="20">
        <v>9</v>
      </c>
      <c r="C6" s="21" t="s">
        <v>15</v>
      </c>
      <c r="D6" s="21">
        <v>18</v>
      </c>
      <c r="E6" s="21"/>
      <c r="F6" s="21"/>
      <c r="G6" s="21"/>
      <c r="H6" s="21"/>
      <c r="I6" s="21"/>
      <c r="J6" s="21"/>
      <c r="K6" s="21"/>
      <c r="L6" s="21"/>
      <c r="M6" s="22"/>
      <c r="N6" s="22"/>
      <c r="O6" s="21"/>
      <c r="P6" s="21"/>
    </row>
    <row r="7" spans="1:28" x14ac:dyDescent="0.25">
      <c r="A7" s="15" t="s">
        <v>16</v>
      </c>
      <c r="B7" s="23">
        <v>3</v>
      </c>
    </row>
    <row r="8" spans="1:28" x14ac:dyDescent="0.25">
      <c r="A8" s="24" t="s">
        <v>0</v>
      </c>
      <c r="B8" s="25" t="s">
        <v>17</v>
      </c>
      <c r="C8" s="25" t="s">
        <v>18</v>
      </c>
      <c r="D8" s="25" t="s">
        <v>19</v>
      </c>
      <c r="E8" s="25" t="s">
        <v>20</v>
      </c>
      <c r="F8" s="25" t="s">
        <v>11</v>
      </c>
      <c r="O8" s="16" t="s">
        <v>21</v>
      </c>
      <c r="S8" s="26"/>
      <c r="T8" s="26"/>
      <c r="U8" s="26"/>
    </row>
    <row r="9" spans="1:28" x14ac:dyDescent="0.25">
      <c r="A9" s="27" t="s">
        <v>22</v>
      </c>
      <c r="B9" s="7">
        <v>26.5</v>
      </c>
      <c r="C9" s="7">
        <v>23.6</v>
      </c>
      <c r="D9" s="7">
        <v>21.56</v>
      </c>
      <c r="E9" s="28">
        <f t="shared" ref="E9:E26" si="0">SUM(B9:D9)</f>
        <v>71.66</v>
      </c>
      <c r="F9" s="28">
        <f>E9/3</f>
        <v>23.886666666666667</v>
      </c>
      <c r="H9" s="29"/>
      <c r="I9" s="29"/>
      <c r="J9" s="29" t="s">
        <v>23</v>
      </c>
      <c r="K9" s="29"/>
      <c r="L9" s="29"/>
      <c r="M9" s="29"/>
      <c r="N9" s="29"/>
      <c r="O9" s="30">
        <v>1</v>
      </c>
      <c r="P9" s="28">
        <f>SUM(F9:F17)/9</f>
        <v>40.430370370370369</v>
      </c>
      <c r="Q9" s="31">
        <f>RANK(P9,P$9:P$10,0)</f>
        <v>1</v>
      </c>
      <c r="S9" s="24" t="s">
        <v>0</v>
      </c>
      <c r="T9" s="25" t="s">
        <v>17</v>
      </c>
      <c r="U9" s="25" t="s">
        <v>18</v>
      </c>
      <c r="V9" s="25" t="s">
        <v>19</v>
      </c>
    </row>
    <row r="10" spans="1:28" x14ac:dyDescent="0.25">
      <c r="A10" s="27" t="s">
        <v>24</v>
      </c>
      <c r="B10" s="7">
        <v>38.9</v>
      </c>
      <c r="C10" s="7">
        <v>42.2</v>
      </c>
      <c r="D10" s="7">
        <v>43.5</v>
      </c>
      <c r="E10" s="28">
        <f t="shared" si="0"/>
        <v>124.6</v>
      </c>
      <c r="F10" s="28">
        <f t="shared" ref="F10:F26" si="1">E10/3</f>
        <v>41.533333333333331</v>
      </c>
      <c r="G10" s="28"/>
      <c r="H10" s="25" t="s">
        <v>25</v>
      </c>
      <c r="I10" s="25" t="s">
        <v>26</v>
      </c>
      <c r="J10" s="25" t="s">
        <v>27</v>
      </c>
      <c r="K10" s="25" t="s">
        <v>28</v>
      </c>
      <c r="L10" s="25" t="s">
        <v>29</v>
      </c>
      <c r="M10" s="25" t="s">
        <v>30</v>
      </c>
      <c r="N10" s="32"/>
      <c r="O10" s="30">
        <v>2</v>
      </c>
      <c r="P10" s="28">
        <f>SUM(F18:F26)/9</f>
        <v>38.69259259259259</v>
      </c>
      <c r="Q10" s="31">
        <f>RANK(P10,P$9:P$10,0)</f>
        <v>2</v>
      </c>
      <c r="S10" s="27" t="s">
        <v>22</v>
      </c>
      <c r="T10" s="9">
        <f>B9*100</f>
        <v>2650</v>
      </c>
      <c r="U10" s="9">
        <f t="shared" ref="U10:V25" si="2">C9*100</f>
        <v>2360</v>
      </c>
      <c r="V10" s="9">
        <f t="shared" si="2"/>
        <v>2156</v>
      </c>
      <c r="X10" s="55"/>
      <c r="Y10" s="55" t="s">
        <v>88</v>
      </c>
    </row>
    <row r="11" spans="1:28" x14ac:dyDescent="0.25">
      <c r="A11" s="27" t="s">
        <v>31</v>
      </c>
      <c r="B11" s="7">
        <v>48.6</v>
      </c>
      <c r="C11" s="7">
        <v>47.56</v>
      </c>
      <c r="D11" s="7">
        <v>45.8</v>
      </c>
      <c r="E11" s="28">
        <f t="shared" si="0"/>
        <v>141.95999999999998</v>
      </c>
      <c r="F11" s="28">
        <f t="shared" si="1"/>
        <v>47.319999999999993</v>
      </c>
      <c r="G11" s="28" t="s">
        <v>32</v>
      </c>
      <c r="H11" s="28">
        <f>B7-1</f>
        <v>2</v>
      </c>
      <c r="I11" s="28">
        <f>D30</f>
        <v>4.5282814814563608</v>
      </c>
      <c r="J11" s="28">
        <f>I11/H11</f>
        <v>2.2641407407281804</v>
      </c>
      <c r="K11" s="28">
        <f>J11/$J$16</f>
        <v>0.42931709769273607</v>
      </c>
      <c r="L11" s="28">
        <f>FINV(0.05,H11,$H$16)</f>
        <v>3.275897990672394</v>
      </c>
      <c r="M11" s="28" t="str">
        <f>IF(K11&gt;=L11, "S", "NS")</f>
        <v>NS</v>
      </c>
      <c r="N11" s="21"/>
      <c r="O11" s="25" t="s">
        <v>33</v>
      </c>
      <c r="P11" s="33">
        <f>SQRT(J16/(3*9))</f>
        <v>0.44195773101532315</v>
      </c>
      <c r="S11" s="27" t="s">
        <v>24</v>
      </c>
      <c r="T11" s="9">
        <f t="shared" ref="T11:V27" si="3">B10*100</f>
        <v>3890</v>
      </c>
      <c r="U11" s="9">
        <f t="shared" si="2"/>
        <v>4220</v>
      </c>
      <c r="V11" s="9">
        <f t="shared" si="2"/>
        <v>4350</v>
      </c>
      <c r="X11" s="27" t="s">
        <v>89</v>
      </c>
      <c r="Y11" s="56">
        <v>0</v>
      </c>
      <c r="AB11" s="52">
        <f>(T11-T10)/Y12</f>
        <v>8.2666666666666675</v>
      </c>
    </row>
    <row r="12" spans="1:28" x14ac:dyDescent="0.25">
      <c r="A12" s="27" t="s">
        <v>34</v>
      </c>
      <c r="B12" s="7">
        <v>38.6</v>
      </c>
      <c r="C12" s="7">
        <v>37.799999999999997</v>
      </c>
      <c r="D12" s="7">
        <v>36.200000000000003</v>
      </c>
      <c r="E12" s="28">
        <f t="shared" si="0"/>
        <v>112.60000000000001</v>
      </c>
      <c r="F12" s="28">
        <f t="shared" si="1"/>
        <v>37.533333333333339</v>
      </c>
      <c r="G12" s="28" t="s">
        <v>35</v>
      </c>
      <c r="H12" s="28">
        <f>D6-1</f>
        <v>17</v>
      </c>
      <c r="I12" s="28">
        <f>B31</f>
        <v>2902.304948148143</v>
      </c>
      <c r="J12" s="28">
        <f t="shared" ref="J12:J16" si="4">I12/H12</f>
        <v>170.72382047930253</v>
      </c>
      <c r="K12" s="28">
        <f>J12/$J$16</f>
        <v>32.371951882998772</v>
      </c>
      <c r="L12" s="28">
        <f>FINV(0.05,H12,$H$16)</f>
        <v>1.9332068318040869</v>
      </c>
      <c r="M12" s="34" t="str">
        <f t="shared" ref="M12:M15" si="5">IF(K12&gt;=L12, "S", "NS")</f>
        <v>S</v>
      </c>
      <c r="N12" s="25" t="s">
        <v>36</v>
      </c>
      <c r="O12" s="25" t="s">
        <v>37</v>
      </c>
      <c r="P12" s="33">
        <f>SQRT((2*J16)/(3*9))*L17</f>
        <v>1.2701987819990308</v>
      </c>
      <c r="S12" s="27" t="s">
        <v>31</v>
      </c>
      <c r="T12" s="9">
        <f t="shared" si="3"/>
        <v>4860</v>
      </c>
      <c r="U12" s="9">
        <f t="shared" si="2"/>
        <v>4756</v>
      </c>
      <c r="V12" s="9">
        <f t="shared" si="2"/>
        <v>4580</v>
      </c>
      <c r="X12" s="27" t="s">
        <v>90</v>
      </c>
      <c r="Y12" s="56">
        <v>150</v>
      </c>
    </row>
    <row r="13" spans="1:28" x14ac:dyDescent="0.25">
      <c r="A13" s="27" t="s">
        <v>38</v>
      </c>
      <c r="B13" s="7">
        <v>45.8</v>
      </c>
      <c r="C13" s="7">
        <v>47.6</v>
      </c>
      <c r="D13" s="7">
        <v>44.5</v>
      </c>
      <c r="E13" s="28">
        <f t="shared" si="0"/>
        <v>137.9</v>
      </c>
      <c r="F13" s="28">
        <f t="shared" si="1"/>
        <v>45.966666666666669</v>
      </c>
      <c r="G13" s="28" t="s">
        <v>39</v>
      </c>
      <c r="H13" s="28">
        <f>B5-1</f>
        <v>1</v>
      </c>
      <c r="I13" s="28">
        <f>(SUM(E9:E17)^2+SUM(E18:E26)^2)/27-B29</f>
        <v>40.768266666651471</v>
      </c>
      <c r="J13" s="28">
        <f t="shared" si="4"/>
        <v>40.768266666651471</v>
      </c>
      <c r="K13" s="28">
        <f>J13/$J$16</f>
        <v>7.7303118169505947</v>
      </c>
      <c r="L13" s="28">
        <f>FINV(0.05,H13,$H$16)</f>
        <v>4.1300177456520188</v>
      </c>
      <c r="M13" s="28" t="str">
        <f>IF(K13&gt;=L13, "S", "NS")</f>
        <v>S</v>
      </c>
      <c r="N13" s="21"/>
      <c r="O13" s="30">
        <v>1</v>
      </c>
      <c r="P13" s="28">
        <f>(F9+F18)/2</f>
        <v>22.726666666666667</v>
      </c>
      <c r="Q13" s="31">
        <f>RANK(P13,P$13:P$21,0)</f>
        <v>9</v>
      </c>
      <c r="R13" s="35">
        <v>9</v>
      </c>
      <c r="S13" s="27" t="s">
        <v>34</v>
      </c>
      <c r="T13" s="9">
        <f t="shared" si="3"/>
        <v>3860</v>
      </c>
      <c r="U13" s="9">
        <f t="shared" si="2"/>
        <v>3779.9999999999995</v>
      </c>
      <c r="V13" s="9">
        <f t="shared" si="2"/>
        <v>3620.0000000000005</v>
      </c>
      <c r="X13" s="27" t="s">
        <v>91</v>
      </c>
      <c r="Y13" s="56">
        <v>187.5</v>
      </c>
    </row>
    <row r="14" spans="1:28" x14ac:dyDescent="0.25">
      <c r="A14" s="27" t="s">
        <v>40</v>
      </c>
      <c r="B14" s="7">
        <v>51.8</v>
      </c>
      <c r="C14" s="7">
        <v>49.8</v>
      </c>
      <c r="D14" s="7">
        <v>47.8</v>
      </c>
      <c r="E14" s="28">
        <f t="shared" si="0"/>
        <v>149.39999999999998</v>
      </c>
      <c r="F14" s="28">
        <f t="shared" si="1"/>
        <v>49.79999999999999</v>
      </c>
      <c r="G14" s="28" t="s">
        <v>41</v>
      </c>
      <c r="H14" s="28">
        <f>B6-1</f>
        <v>8</v>
      </c>
      <c r="I14" s="28">
        <f>((E9+E18)^2+(E10+E19)^2+(E11+E20)^2+(E12+E21)^2+(E13+E22)^2+(E14+E23)^2+(E15+E24)^2+(E16+E25)^2+(E17+E26)^2/6)-B29</f>
        <v>401179.88174814812</v>
      </c>
      <c r="J14" s="28">
        <f t="shared" si="4"/>
        <v>50147.485218518515</v>
      </c>
      <c r="K14" s="28">
        <f>J14/$J$16</f>
        <v>9508.7608395225725</v>
      </c>
      <c r="L14" s="28">
        <f>FINV(0.05,H14,$H$16)</f>
        <v>2.2253399674380931</v>
      </c>
      <c r="M14" s="28" t="str">
        <f>IF(K14&gt;=L14, "S", "NS")</f>
        <v>S</v>
      </c>
      <c r="N14" s="21"/>
      <c r="O14" s="30">
        <v>2</v>
      </c>
      <c r="P14" s="28">
        <f t="shared" ref="P14:P21" si="6">(F10+F19)/2</f>
        <v>39.549999999999997</v>
      </c>
      <c r="Q14" s="31">
        <f t="shared" ref="Q14:Q21" si="7">RANK(P14,P$13:P$21,0)</f>
        <v>5</v>
      </c>
      <c r="R14" s="37">
        <v>5</v>
      </c>
      <c r="S14" s="27" t="s">
        <v>38</v>
      </c>
      <c r="T14" s="9">
        <f t="shared" si="3"/>
        <v>4580</v>
      </c>
      <c r="U14" s="9">
        <f t="shared" si="2"/>
        <v>4760</v>
      </c>
      <c r="V14" s="9">
        <f t="shared" si="2"/>
        <v>4450</v>
      </c>
      <c r="X14" s="27" t="s">
        <v>92</v>
      </c>
      <c r="Y14" s="56">
        <v>71.599999999999994</v>
      </c>
    </row>
    <row r="15" spans="1:28" x14ac:dyDescent="0.25">
      <c r="A15" s="27" t="s">
        <v>42</v>
      </c>
      <c r="B15" s="7">
        <v>40.200000000000003</v>
      </c>
      <c r="C15" s="7">
        <v>39.5</v>
      </c>
      <c r="D15" s="7">
        <v>38.9</v>
      </c>
      <c r="E15" s="28">
        <f t="shared" si="0"/>
        <v>118.6</v>
      </c>
      <c r="F15" s="28">
        <f t="shared" si="1"/>
        <v>39.533333333333331</v>
      </c>
      <c r="G15" s="38" t="s">
        <v>43</v>
      </c>
      <c r="H15" s="28">
        <f>H13*H14</f>
        <v>8</v>
      </c>
      <c r="I15" s="28">
        <f>I12-(I13+I14)</f>
        <v>-398318.34506666666</v>
      </c>
      <c r="J15" s="28">
        <f t="shared" si="4"/>
        <v>-49789.793133333333</v>
      </c>
      <c r="K15" s="39">
        <f>J15/$J$16</f>
        <v>-9440.936730748319</v>
      </c>
      <c r="L15" s="28">
        <f>FINV(0.05,H15,$H$16)</f>
        <v>2.2253399674380931</v>
      </c>
      <c r="M15" s="28" t="str">
        <f t="shared" si="5"/>
        <v>NS</v>
      </c>
      <c r="N15" s="21"/>
      <c r="O15" s="30">
        <v>3</v>
      </c>
      <c r="P15" s="28">
        <f t="shared" si="6"/>
        <v>46.893333333333331</v>
      </c>
      <c r="Q15" s="31">
        <f t="shared" si="7"/>
        <v>2</v>
      </c>
      <c r="R15" s="37">
        <v>2</v>
      </c>
      <c r="S15" s="27" t="s">
        <v>40</v>
      </c>
      <c r="T15" s="9">
        <f t="shared" si="3"/>
        <v>5180</v>
      </c>
      <c r="U15" s="9">
        <f t="shared" si="2"/>
        <v>4980</v>
      </c>
      <c r="V15" s="9">
        <f t="shared" si="2"/>
        <v>4780</v>
      </c>
      <c r="X15" s="27" t="s">
        <v>93</v>
      </c>
      <c r="Y15" s="56">
        <f>150+AA15</f>
        <v>150</v>
      </c>
    </row>
    <row r="16" spans="1:28" x14ac:dyDescent="0.25">
      <c r="A16" s="27" t="s">
        <v>44</v>
      </c>
      <c r="B16" s="7">
        <v>43.5</v>
      </c>
      <c r="C16" s="7">
        <v>42.5</v>
      </c>
      <c r="D16" s="7">
        <v>41.9</v>
      </c>
      <c r="E16" s="28">
        <f t="shared" si="0"/>
        <v>127.9</v>
      </c>
      <c r="F16" s="28">
        <f t="shared" si="1"/>
        <v>42.633333333333333</v>
      </c>
      <c r="G16" s="40" t="s">
        <v>45</v>
      </c>
      <c r="H16" s="28">
        <f>((B7-1)*(B5*B6-1))</f>
        <v>34</v>
      </c>
      <c r="I16" s="28">
        <f>D31</f>
        <v>179.30985185186728</v>
      </c>
      <c r="J16" s="28">
        <f t="shared" si="4"/>
        <v>5.2738191721137433</v>
      </c>
      <c r="O16" s="30">
        <v>4</v>
      </c>
      <c r="P16" s="28">
        <f t="shared" si="6"/>
        <v>37.516666666666666</v>
      </c>
      <c r="Q16" s="31">
        <f t="shared" si="7"/>
        <v>7</v>
      </c>
      <c r="R16" s="37">
        <v>7</v>
      </c>
      <c r="S16" s="27" t="s">
        <v>42</v>
      </c>
      <c r="T16" s="9">
        <f t="shared" si="3"/>
        <v>4020.0000000000005</v>
      </c>
      <c r="U16" s="9">
        <f t="shared" si="2"/>
        <v>3950</v>
      </c>
      <c r="V16" s="9">
        <f t="shared" si="2"/>
        <v>3890</v>
      </c>
      <c r="X16" s="27" t="s">
        <v>94</v>
      </c>
      <c r="Y16" s="56">
        <f>150+AA15+20</f>
        <v>170</v>
      </c>
    </row>
    <row r="17" spans="1:25" x14ac:dyDescent="0.25">
      <c r="A17" s="27" t="s">
        <v>46</v>
      </c>
      <c r="B17" s="7">
        <v>36.5</v>
      </c>
      <c r="C17" s="7">
        <v>35.700000000000003</v>
      </c>
      <c r="D17" s="7">
        <v>34.799999999999997</v>
      </c>
      <c r="E17" s="28">
        <f t="shared" si="0"/>
        <v>107</v>
      </c>
      <c r="F17" s="28">
        <f t="shared" si="1"/>
        <v>35.666666666666664</v>
      </c>
      <c r="G17" s="39" t="s">
        <v>20</v>
      </c>
      <c r="H17" s="28">
        <f>SUM(H11:H16)-H12</f>
        <v>53</v>
      </c>
      <c r="I17" s="28">
        <f>B30</f>
        <v>3086.1430814814667</v>
      </c>
      <c r="K17" s="28" t="s">
        <v>47</v>
      </c>
      <c r="L17" s="16">
        <f>TINV(0.05,34)</f>
        <v>2.0322445093177191</v>
      </c>
      <c r="O17" s="30">
        <v>5</v>
      </c>
      <c r="P17" s="28">
        <f t="shared" si="6"/>
        <v>43.75</v>
      </c>
      <c r="Q17" s="31">
        <f t="shared" si="7"/>
        <v>3</v>
      </c>
      <c r="R17" s="35">
        <v>3</v>
      </c>
      <c r="S17" s="27" t="s">
        <v>44</v>
      </c>
      <c r="T17" s="9">
        <f t="shared" si="3"/>
        <v>4350</v>
      </c>
      <c r="U17" s="9">
        <f t="shared" si="2"/>
        <v>4250</v>
      </c>
      <c r="V17" s="9">
        <f t="shared" si="2"/>
        <v>4190</v>
      </c>
      <c r="X17" s="27" t="s">
        <v>95</v>
      </c>
      <c r="Y17" s="56">
        <f>112.5+AA15</f>
        <v>112.5</v>
      </c>
    </row>
    <row r="18" spans="1:25" x14ac:dyDescent="0.25">
      <c r="A18" s="27" t="s">
        <v>48</v>
      </c>
      <c r="B18" s="7">
        <v>26.5</v>
      </c>
      <c r="C18" s="7">
        <v>15.6</v>
      </c>
      <c r="D18" s="7">
        <v>22.6</v>
      </c>
      <c r="E18" s="28">
        <f t="shared" si="0"/>
        <v>64.7</v>
      </c>
      <c r="F18" s="28">
        <f t="shared" si="1"/>
        <v>21.566666666666666</v>
      </c>
      <c r="G18" s="42" t="s">
        <v>33</v>
      </c>
      <c r="H18" s="28">
        <f>SQRT(J16/3)</f>
        <v>1.3258731930459693</v>
      </c>
      <c r="O18" s="30">
        <v>6</v>
      </c>
      <c r="P18" s="28">
        <f t="shared" si="6"/>
        <v>49.033333333333331</v>
      </c>
      <c r="Q18" s="31">
        <f t="shared" si="7"/>
        <v>1</v>
      </c>
      <c r="R18" s="37">
        <v>1</v>
      </c>
      <c r="S18" s="27" t="s">
        <v>46</v>
      </c>
      <c r="T18" s="9">
        <f t="shared" si="3"/>
        <v>3650</v>
      </c>
      <c r="U18" s="9">
        <f t="shared" si="2"/>
        <v>3570.0000000000005</v>
      </c>
      <c r="V18" s="9">
        <f t="shared" si="2"/>
        <v>3479.9999999999995</v>
      </c>
      <c r="X18" s="27" t="s">
        <v>96</v>
      </c>
      <c r="Y18" s="56">
        <f>112.5+AA15+20</f>
        <v>132.5</v>
      </c>
    </row>
    <row r="19" spans="1:25" x14ac:dyDescent="0.25">
      <c r="A19" s="27" t="s">
        <v>49</v>
      </c>
      <c r="B19" s="7">
        <v>38.5</v>
      </c>
      <c r="C19" s="7">
        <v>36.4</v>
      </c>
      <c r="D19" s="7">
        <v>37.799999999999997</v>
      </c>
      <c r="E19" s="28">
        <f t="shared" si="0"/>
        <v>112.7</v>
      </c>
      <c r="F19" s="28">
        <f t="shared" si="1"/>
        <v>37.56666666666667</v>
      </c>
      <c r="G19" s="42" t="s">
        <v>37</v>
      </c>
      <c r="H19" s="28">
        <f>(SQRT((2*J16)/3))*L17</f>
        <v>3.8105963459970922</v>
      </c>
      <c r="O19" s="30">
        <v>7</v>
      </c>
      <c r="P19" s="28">
        <f t="shared" si="6"/>
        <v>38.516666666666666</v>
      </c>
      <c r="Q19" s="31">
        <f t="shared" si="7"/>
        <v>6</v>
      </c>
      <c r="R19" s="37">
        <v>6</v>
      </c>
      <c r="S19" s="27" t="s">
        <v>48</v>
      </c>
      <c r="T19" s="9">
        <f t="shared" si="3"/>
        <v>2650</v>
      </c>
      <c r="U19" s="9">
        <f t="shared" si="2"/>
        <v>1560</v>
      </c>
      <c r="V19" s="9">
        <f t="shared" si="2"/>
        <v>2260</v>
      </c>
      <c r="X19" s="27" t="s">
        <v>97</v>
      </c>
      <c r="Y19" s="56">
        <f>AB15+20</f>
        <v>20</v>
      </c>
    </row>
    <row r="20" spans="1:25" x14ac:dyDescent="0.25">
      <c r="A20" s="27" t="s">
        <v>50</v>
      </c>
      <c r="B20" s="7">
        <v>47.8</v>
      </c>
      <c r="C20" s="7">
        <v>46.8</v>
      </c>
      <c r="D20" s="7">
        <v>44.8</v>
      </c>
      <c r="E20" s="28">
        <f t="shared" si="0"/>
        <v>139.39999999999998</v>
      </c>
      <c r="F20" s="28">
        <f t="shared" si="1"/>
        <v>46.466666666666661</v>
      </c>
      <c r="G20" s="42" t="s">
        <v>51</v>
      </c>
      <c r="H20" s="28">
        <f>((SQRT(J16))/F27)*100</f>
        <v>5.8048375560055003</v>
      </c>
      <c r="O20" s="30">
        <v>8</v>
      </c>
      <c r="P20" s="28">
        <f t="shared" si="6"/>
        <v>42.3</v>
      </c>
      <c r="Q20" s="31">
        <f t="shared" si="7"/>
        <v>4</v>
      </c>
      <c r="R20" s="35">
        <v>4</v>
      </c>
      <c r="S20" s="27" t="s">
        <v>49</v>
      </c>
      <c r="T20" s="9">
        <f t="shared" si="3"/>
        <v>3850</v>
      </c>
      <c r="U20" s="9">
        <f t="shared" si="2"/>
        <v>3640</v>
      </c>
      <c r="V20" s="9">
        <f t="shared" si="2"/>
        <v>3779.9999999999995</v>
      </c>
    </row>
    <row r="21" spans="1:25" x14ac:dyDescent="0.25">
      <c r="A21" s="27" t="s">
        <v>52</v>
      </c>
      <c r="B21" s="7">
        <v>36.799999999999997</v>
      </c>
      <c r="C21" s="7">
        <v>35.9</v>
      </c>
      <c r="D21" s="7">
        <v>39.799999999999997</v>
      </c>
      <c r="E21" s="28">
        <f t="shared" si="0"/>
        <v>112.49999999999999</v>
      </c>
      <c r="F21" s="28">
        <f t="shared" si="1"/>
        <v>37.499999999999993</v>
      </c>
      <c r="O21" s="30">
        <v>9</v>
      </c>
      <c r="P21" s="28">
        <f t="shared" si="6"/>
        <v>35.766666666666666</v>
      </c>
      <c r="Q21" s="31">
        <f t="shared" si="7"/>
        <v>8</v>
      </c>
      <c r="R21" s="37">
        <v>8</v>
      </c>
      <c r="S21" s="27" t="s">
        <v>50</v>
      </c>
      <c r="T21" s="9">
        <f t="shared" si="3"/>
        <v>4780</v>
      </c>
      <c r="U21" s="9">
        <f t="shared" si="2"/>
        <v>4680</v>
      </c>
      <c r="V21" s="9">
        <f t="shared" si="2"/>
        <v>4480</v>
      </c>
    </row>
    <row r="22" spans="1:25" x14ac:dyDescent="0.25">
      <c r="A22" s="27" t="s">
        <v>53</v>
      </c>
      <c r="B22" s="7">
        <v>36.5</v>
      </c>
      <c r="C22" s="7">
        <v>45.6</v>
      </c>
      <c r="D22" s="7">
        <v>42.5</v>
      </c>
      <c r="E22" s="28">
        <f t="shared" si="0"/>
        <v>124.6</v>
      </c>
      <c r="F22" s="28">
        <f t="shared" si="1"/>
        <v>41.533333333333331</v>
      </c>
      <c r="O22" s="25" t="s">
        <v>33</v>
      </c>
      <c r="P22" s="33">
        <f>SQRT(J16/(3*2))</f>
        <v>0.93753392579626538</v>
      </c>
      <c r="Q22" s="31"/>
      <c r="S22" s="27" t="s">
        <v>52</v>
      </c>
      <c r="T22" s="9">
        <f t="shared" si="3"/>
        <v>3679.9999999999995</v>
      </c>
      <c r="U22" s="9">
        <f t="shared" si="2"/>
        <v>3590</v>
      </c>
      <c r="V22" s="9">
        <f t="shared" si="2"/>
        <v>3979.9999999999995</v>
      </c>
    </row>
    <row r="23" spans="1:25" x14ac:dyDescent="0.25">
      <c r="A23" s="27" t="s">
        <v>55</v>
      </c>
      <c r="B23" s="7">
        <v>46.8</v>
      </c>
      <c r="C23" s="7">
        <v>50.8</v>
      </c>
      <c r="D23" s="7">
        <v>47.2</v>
      </c>
      <c r="E23" s="28">
        <f t="shared" si="0"/>
        <v>144.80000000000001</v>
      </c>
      <c r="F23" s="28">
        <f t="shared" si="1"/>
        <v>48.266666666666673</v>
      </c>
      <c r="G23" s="43"/>
      <c r="N23" s="25" t="s">
        <v>41</v>
      </c>
      <c r="O23" s="25" t="s">
        <v>37</v>
      </c>
      <c r="P23" s="33">
        <f>SQRT((2*J16)/(3*2))*L17</f>
        <v>2.6944985166192232</v>
      </c>
      <c r="Q23" s="31"/>
      <c r="S23" s="27" t="s">
        <v>53</v>
      </c>
      <c r="T23" s="9">
        <f t="shared" si="3"/>
        <v>3650</v>
      </c>
      <c r="U23" s="9">
        <f t="shared" si="2"/>
        <v>4560</v>
      </c>
      <c r="V23" s="9">
        <f t="shared" si="2"/>
        <v>4250</v>
      </c>
    </row>
    <row r="24" spans="1:25" x14ac:dyDescent="0.25">
      <c r="A24" s="27" t="s">
        <v>56</v>
      </c>
      <c r="B24" s="7">
        <v>37.9</v>
      </c>
      <c r="C24" s="7">
        <v>37.799999999999997</v>
      </c>
      <c r="D24" s="7">
        <v>36.799999999999997</v>
      </c>
      <c r="E24" s="28">
        <f t="shared" si="0"/>
        <v>112.49999999999999</v>
      </c>
      <c r="F24" s="28">
        <f>E24/3</f>
        <v>37.499999999999993</v>
      </c>
      <c r="G24" s="43"/>
      <c r="Q24" s="31"/>
      <c r="S24" s="27" t="s">
        <v>55</v>
      </c>
      <c r="T24" s="9">
        <f t="shared" si="3"/>
        <v>4680</v>
      </c>
      <c r="U24" s="9">
        <f t="shared" si="2"/>
        <v>5080</v>
      </c>
      <c r="V24" s="9">
        <f t="shared" si="2"/>
        <v>4720</v>
      </c>
    </row>
    <row r="25" spans="1:25" x14ac:dyDescent="0.25">
      <c r="A25" s="27" t="s">
        <v>57</v>
      </c>
      <c r="B25" s="7">
        <v>40.9</v>
      </c>
      <c r="C25" s="7">
        <v>41.8</v>
      </c>
      <c r="D25" s="7">
        <v>43.2</v>
      </c>
      <c r="E25" s="28">
        <f t="shared" si="0"/>
        <v>125.89999999999999</v>
      </c>
      <c r="F25" s="28">
        <f t="shared" si="1"/>
        <v>41.966666666666661</v>
      </c>
      <c r="G25" s="43"/>
      <c r="S25" s="27" t="s">
        <v>56</v>
      </c>
      <c r="T25" s="9">
        <f t="shared" si="3"/>
        <v>3790</v>
      </c>
      <c r="U25" s="9">
        <f t="shared" si="2"/>
        <v>3779.9999999999995</v>
      </c>
      <c r="V25" s="9">
        <f t="shared" si="2"/>
        <v>3679.9999999999995</v>
      </c>
    </row>
    <row r="26" spans="1:25" x14ac:dyDescent="0.25">
      <c r="A26" s="27" t="s">
        <v>58</v>
      </c>
      <c r="B26" s="7">
        <v>34.799999999999997</v>
      </c>
      <c r="C26" s="7">
        <v>37.6</v>
      </c>
      <c r="D26" s="7">
        <v>35.200000000000003</v>
      </c>
      <c r="E26" s="28">
        <f t="shared" si="0"/>
        <v>107.60000000000001</v>
      </c>
      <c r="F26" s="28">
        <f t="shared" si="1"/>
        <v>35.866666666666667</v>
      </c>
      <c r="G26" s="43"/>
      <c r="S26" s="27" t="s">
        <v>57</v>
      </c>
      <c r="T26" s="9">
        <f t="shared" si="3"/>
        <v>4090</v>
      </c>
      <c r="U26" s="9">
        <f t="shared" si="3"/>
        <v>4180</v>
      </c>
      <c r="V26" s="9">
        <f t="shared" si="3"/>
        <v>4320</v>
      </c>
    </row>
    <row r="27" spans="1:25" x14ac:dyDescent="0.25">
      <c r="A27" s="25" t="s">
        <v>20</v>
      </c>
      <c r="B27" s="28">
        <f>SUM(B9:B26)</f>
        <v>716.89999999999986</v>
      </c>
      <c r="C27" s="28">
        <f>SUM(C9:C26)</f>
        <v>714.55999999999983</v>
      </c>
      <c r="D27" s="28">
        <f>SUM(D9:D26)</f>
        <v>704.86000000000013</v>
      </c>
      <c r="E27" s="28">
        <f>SUM(E9:E26)</f>
        <v>2136.3200000000002</v>
      </c>
      <c r="F27" s="28">
        <f>AVERAGE(B9:D26)</f>
        <v>39.561481481481465</v>
      </c>
      <c r="G27" s="43"/>
      <c r="S27" s="27" t="s">
        <v>58</v>
      </c>
      <c r="T27" s="9">
        <f t="shared" si="3"/>
        <v>3479.9999999999995</v>
      </c>
      <c r="U27" s="9">
        <f t="shared" si="3"/>
        <v>3760</v>
      </c>
      <c r="V27" s="9">
        <f t="shared" si="3"/>
        <v>3520.0000000000005</v>
      </c>
    </row>
    <row r="28" spans="1:25" x14ac:dyDescent="0.25">
      <c r="A28" s="25" t="s">
        <v>11</v>
      </c>
      <c r="B28" s="28">
        <f>B27/18</f>
        <v>39.827777777777769</v>
      </c>
      <c r="C28" s="28">
        <f>C27/18</f>
        <v>39.697777777777766</v>
      </c>
      <c r="D28" s="28">
        <f>D27/18</f>
        <v>39.158888888888896</v>
      </c>
      <c r="G28" s="43"/>
    </row>
    <row r="29" spans="1:25" x14ac:dyDescent="0.25">
      <c r="A29" s="25" t="s">
        <v>59</v>
      </c>
      <c r="B29" s="28">
        <f>(E27*E27)/54</f>
        <v>84515.984118518521</v>
      </c>
      <c r="C29" s="28"/>
      <c r="D29" s="28"/>
      <c r="G29" s="43"/>
    </row>
    <row r="30" spans="1:25" x14ac:dyDescent="0.25">
      <c r="A30" s="25" t="s">
        <v>60</v>
      </c>
      <c r="B30" s="28">
        <f>SUMSQ(B9:D26)-B29</f>
        <v>3086.1430814814667</v>
      </c>
      <c r="C30" s="25" t="s">
        <v>61</v>
      </c>
      <c r="D30" s="28">
        <f>(SUMSQ(B27:D27)/18)-B29</f>
        <v>4.5282814814563608</v>
      </c>
      <c r="G30" s="43"/>
    </row>
    <row r="31" spans="1:25" x14ac:dyDescent="0.25">
      <c r="A31" s="25" t="s">
        <v>62</v>
      </c>
      <c r="B31" s="28">
        <f>(SUMSQ(E9:E26)/3)-B29</f>
        <v>2902.304948148143</v>
      </c>
      <c r="C31" s="25" t="s">
        <v>63</v>
      </c>
      <c r="D31" s="28">
        <f>B30-B31-D30</f>
        <v>179.30985185186728</v>
      </c>
      <c r="G31" s="43"/>
    </row>
    <row r="35" spans="1:18" ht="15.75" x14ac:dyDescent="0.25">
      <c r="C35" s="18" t="s">
        <v>64</v>
      </c>
    </row>
    <row r="37" spans="1:18" x14ac:dyDescent="0.25">
      <c r="A37" s="19" t="s">
        <v>13</v>
      </c>
      <c r="B37" s="20">
        <v>2</v>
      </c>
      <c r="C37" s="21"/>
      <c r="D37" s="21"/>
      <c r="E37" s="21"/>
      <c r="F37" s="21"/>
      <c r="G37" s="21"/>
      <c r="H37" s="21"/>
      <c r="I37" s="21"/>
      <c r="M37" s="22"/>
      <c r="N37" s="22"/>
      <c r="O37" s="21"/>
      <c r="P37" s="21"/>
    </row>
    <row r="38" spans="1:18" x14ac:dyDescent="0.25">
      <c r="A38" s="19" t="s">
        <v>14</v>
      </c>
      <c r="B38" s="20">
        <v>9</v>
      </c>
      <c r="C38" s="21" t="s">
        <v>15</v>
      </c>
      <c r="D38" s="21">
        <v>18</v>
      </c>
      <c r="E38" s="21"/>
      <c r="F38" s="21"/>
      <c r="G38" s="21"/>
      <c r="H38" s="21"/>
      <c r="I38" s="21"/>
      <c r="M38" s="22"/>
      <c r="N38" s="22"/>
      <c r="O38" s="21"/>
      <c r="P38" s="21"/>
    </row>
    <row r="39" spans="1:18" x14ac:dyDescent="0.25">
      <c r="A39" s="15" t="s">
        <v>16</v>
      </c>
      <c r="B39" s="23">
        <v>3</v>
      </c>
    </row>
    <row r="40" spans="1:18" s="16" customFormat="1" x14ac:dyDescent="0.25">
      <c r="A40" s="24" t="s">
        <v>0</v>
      </c>
      <c r="B40" s="25" t="s">
        <v>17</v>
      </c>
      <c r="C40" s="25" t="s">
        <v>18</v>
      </c>
      <c r="D40" s="25" t="s">
        <v>19</v>
      </c>
      <c r="E40" s="25" t="s">
        <v>20</v>
      </c>
      <c r="F40" s="25" t="s">
        <v>11</v>
      </c>
      <c r="O40" s="16" t="s">
        <v>21</v>
      </c>
      <c r="Q40" s="15"/>
    </row>
    <row r="41" spans="1:18" s="16" customFormat="1" x14ac:dyDescent="0.25">
      <c r="A41" s="27" t="s">
        <v>22</v>
      </c>
      <c r="B41" s="8">
        <v>37.4</v>
      </c>
      <c r="C41" s="8">
        <v>36.799999999999997</v>
      </c>
      <c r="D41" s="8">
        <v>40.799999999999997</v>
      </c>
      <c r="E41" s="28">
        <f>SUM(B41:D41)</f>
        <v>114.99999999999999</v>
      </c>
      <c r="F41" s="28">
        <f>E41/3</f>
        <v>38.333333333333329</v>
      </c>
      <c r="H41" s="29"/>
      <c r="I41" s="29"/>
      <c r="J41" s="29" t="s">
        <v>23</v>
      </c>
      <c r="K41" s="29"/>
      <c r="L41" s="29"/>
      <c r="M41" s="29"/>
      <c r="N41" s="29"/>
      <c r="O41" s="30">
        <v>1</v>
      </c>
      <c r="P41" s="28">
        <f>SUM(F41:F49)/9</f>
        <v>62.714814814814822</v>
      </c>
      <c r="Q41" s="31">
        <f>RANK(P41,P$41:P$42,0)</f>
        <v>1</v>
      </c>
    </row>
    <row r="42" spans="1:18" s="16" customFormat="1" x14ac:dyDescent="0.25">
      <c r="A42" s="27" t="s">
        <v>24</v>
      </c>
      <c r="B42" s="6">
        <v>61.2</v>
      </c>
      <c r="C42" s="6">
        <v>66.2</v>
      </c>
      <c r="D42" s="6">
        <v>66.2</v>
      </c>
      <c r="E42" s="28">
        <f t="shared" ref="E42:E58" si="8">SUM(B42:D42)</f>
        <v>193.60000000000002</v>
      </c>
      <c r="F42" s="28">
        <f t="shared" ref="F42:F55" si="9">E42/3</f>
        <v>64.533333333333346</v>
      </c>
      <c r="G42" s="28"/>
      <c r="H42" s="25" t="s">
        <v>25</v>
      </c>
      <c r="I42" s="25" t="s">
        <v>26</v>
      </c>
      <c r="J42" s="25" t="s">
        <v>27</v>
      </c>
      <c r="K42" s="25" t="s">
        <v>28</v>
      </c>
      <c r="L42" s="25" t="s">
        <v>29</v>
      </c>
      <c r="M42" s="25" t="s">
        <v>30</v>
      </c>
      <c r="N42" s="32"/>
      <c r="O42" s="30">
        <v>2</v>
      </c>
      <c r="P42" s="28">
        <f>SUM(F50:F58)/9</f>
        <v>60.966666666666669</v>
      </c>
      <c r="Q42" s="31">
        <f>RANK(P42,P$41:P$42,0)</f>
        <v>2</v>
      </c>
    </row>
    <row r="43" spans="1:18" s="16" customFormat="1" x14ac:dyDescent="0.25">
      <c r="A43" s="27" t="s">
        <v>31</v>
      </c>
      <c r="B43" s="6">
        <v>68.900000000000006</v>
      </c>
      <c r="C43" s="6">
        <v>70.2</v>
      </c>
      <c r="D43" s="6">
        <v>71.599999999999994</v>
      </c>
      <c r="E43" s="28">
        <f t="shared" si="8"/>
        <v>210.70000000000002</v>
      </c>
      <c r="F43" s="28">
        <f t="shared" si="9"/>
        <v>70.233333333333334</v>
      </c>
      <c r="G43" s="28" t="s">
        <v>32</v>
      </c>
      <c r="H43" s="28">
        <f>B39-1</f>
        <v>2</v>
      </c>
      <c r="I43" s="28">
        <f>D62</f>
        <v>3.7159259258769453</v>
      </c>
      <c r="J43" s="28">
        <f>I43/H43</f>
        <v>1.8579629629384726</v>
      </c>
      <c r="K43" s="28">
        <f>J43/$J$16</f>
        <v>0.35229933039092093</v>
      </c>
      <c r="L43" s="28">
        <f>FINV(0.05,H43,$H$16)</f>
        <v>3.275897990672394</v>
      </c>
      <c r="M43" s="28" t="str">
        <f>IF(K43&gt;=L43, "S", "NS")</f>
        <v>NS</v>
      </c>
      <c r="N43" s="21"/>
      <c r="O43" s="25" t="s">
        <v>33</v>
      </c>
      <c r="P43" s="33">
        <f>SQRT(J48/(3*9))</f>
        <v>0.51749081160459764</v>
      </c>
      <c r="Q43" s="15"/>
    </row>
    <row r="44" spans="1:18" s="16" customFormat="1" x14ac:dyDescent="0.25">
      <c r="A44" s="27" t="s">
        <v>34</v>
      </c>
      <c r="B44" s="6">
        <v>61.6</v>
      </c>
      <c r="C44" s="6">
        <v>59.5</v>
      </c>
      <c r="D44" s="6">
        <v>64.5</v>
      </c>
      <c r="E44" s="28">
        <f t="shared" si="8"/>
        <v>185.6</v>
      </c>
      <c r="F44" s="28">
        <f t="shared" si="9"/>
        <v>61.866666666666667</v>
      </c>
      <c r="G44" s="28" t="s">
        <v>35</v>
      </c>
      <c r="H44" s="28">
        <f>D38-1</f>
        <v>17</v>
      </c>
      <c r="I44" s="28">
        <f>B63</f>
        <v>4870.1570370370173</v>
      </c>
      <c r="J44" s="28">
        <f t="shared" ref="J44:J48" si="10">I44/H44</f>
        <v>286.47982570805982</v>
      </c>
      <c r="K44" s="28">
        <f>J44/$J$16</f>
        <v>54.321131680599301</v>
      </c>
      <c r="L44" s="28">
        <f>FINV(0.05,H44,$H$16)</f>
        <v>1.9332068318040869</v>
      </c>
      <c r="M44" s="34" t="str">
        <f t="shared" ref="M44" si="11">IF(K44&gt;=L44, "S", "NS")</f>
        <v>S</v>
      </c>
      <c r="N44" s="25" t="s">
        <v>36</v>
      </c>
      <c r="O44" s="25" t="s">
        <v>37</v>
      </c>
      <c r="P44" s="33">
        <f>SQRT((2*J48)/(3*9))*L49</f>
        <v>1.4872829514392181</v>
      </c>
      <c r="Q44" s="15"/>
    </row>
    <row r="45" spans="1:18" s="16" customFormat="1" x14ac:dyDescent="0.25">
      <c r="A45" s="27" t="s">
        <v>38</v>
      </c>
      <c r="B45" s="6">
        <v>70.400000000000006</v>
      </c>
      <c r="C45" s="6">
        <v>66.8</v>
      </c>
      <c r="D45" s="6">
        <v>66.8</v>
      </c>
      <c r="E45" s="28">
        <f t="shared" si="8"/>
        <v>204</v>
      </c>
      <c r="F45" s="28">
        <f t="shared" si="9"/>
        <v>68</v>
      </c>
      <c r="G45" s="28" t="s">
        <v>39</v>
      </c>
      <c r="H45" s="28">
        <f>B37-1</f>
        <v>1</v>
      </c>
      <c r="I45" s="28">
        <f>(SUM(E41:E49)^2+SUM(E50:E58)^2)/27-B61</f>
        <v>41.256296296312939</v>
      </c>
      <c r="J45" s="28">
        <f t="shared" si="10"/>
        <v>41.256296296312939</v>
      </c>
      <c r="K45" s="28">
        <f>J45/$J$16</f>
        <v>7.8228499972966352</v>
      </c>
      <c r="L45" s="28">
        <f>FINV(0.05,H45,$H$16)</f>
        <v>4.1300177456520188</v>
      </c>
      <c r="M45" s="28" t="str">
        <f>IF(K45&gt;=L45, "S", "NS")</f>
        <v>S</v>
      </c>
      <c r="N45" s="21"/>
      <c r="O45" s="30">
        <v>1</v>
      </c>
      <c r="P45" s="28">
        <f>(F41+F50)/2</f>
        <v>37.216666666666669</v>
      </c>
      <c r="Q45" s="31">
        <f>RANK(P45,P$45:P$53,0)</f>
        <v>9</v>
      </c>
      <c r="R45" s="35">
        <v>9</v>
      </c>
    </row>
    <row r="46" spans="1:18" s="16" customFormat="1" x14ac:dyDescent="0.25">
      <c r="A46" s="27" t="s">
        <v>40</v>
      </c>
      <c r="B46" s="6">
        <v>71.2</v>
      </c>
      <c r="C46" s="6">
        <v>77.099999999999994</v>
      </c>
      <c r="D46" s="6">
        <v>67.599999999999994</v>
      </c>
      <c r="E46" s="28">
        <f t="shared" si="8"/>
        <v>215.9</v>
      </c>
      <c r="F46" s="28">
        <f t="shared" si="9"/>
        <v>71.966666666666669</v>
      </c>
      <c r="G46" s="28" t="s">
        <v>41</v>
      </c>
      <c r="H46" s="28">
        <f>B38-1</f>
        <v>8</v>
      </c>
      <c r="I46" s="28">
        <f>((E41+E50)^2+(E42+E51)^2+(E43+E52)^2+(E44+E53)^2+(E45+E54)^2+(E46+E55)^2+(E47+E56)^2+(E48+E57)^2+(E49+E58)^2/6)-B61</f>
        <v>956916.03537037049</v>
      </c>
      <c r="J46" s="28">
        <f t="shared" si="10"/>
        <v>119614.50442129631</v>
      </c>
      <c r="K46" s="28">
        <f>J46/$J$16</f>
        <v>22680.812617501047</v>
      </c>
      <c r="L46" s="28">
        <f>FINV(0.05,H46,$H$16)</f>
        <v>2.2253399674380931</v>
      </c>
      <c r="M46" s="28" t="str">
        <f>IF(K46&gt;=L46, "S", "NS")</f>
        <v>S</v>
      </c>
      <c r="N46" s="21"/>
      <c r="O46" s="30">
        <v>2</v>
      </c>
      <c r="P46" s="28">
        <f t="shared" ref="P46:P53" si="12">(F42+F51)/2</f>
        <v>63.683333333333337</v>
      </c>
      <c r="Q46" s="31">
        <f t="shared" ref="Q46:Q53" si="13">RANK(P46,P$45:P$53,0)</f>
        <v>5</v>
      </c>
      <c r="R46" s="37">
        <v>5</v>
      </c>
    </row>
    <row r="47" spans="1:18" s="16" customFormat="1" x14ac:dyDescent="0.25">
      <c r="A47" s="27" t="s">
        <v>42</v>
      </c>
      <c r="B47" s="6">
        <v>63.5</v>
      </c>
      <c r="C47" s="6">
        <v>60.8</v>
      </c>
      <c r="D47" s="6">
        <v>64.599999999999994</v>
      </c>
      <c r="E47" s="28">
        <f t="shared" si="8"/>
        <v>188.89999999999998</v>
      </c>
      <c r="F47" s="28">
        <f t="shared" si="9"/>
        <v>62.966666666666661</v>
      </c>
      <c r="G47" s="38" t="s">
        <v>43</v>
      </c>
      <c r="H47" s="28">
        <f>H45*H46</f>
        <v>8</v>
      </c>
      <c r="I47" s="28">
        <f>I44-(I45+I46)</f>
        <v>-952087.13462962979</v>
      </c>
      <c r="J47" s="28">
        <f t="shared" si="10"/>
        <v>-119010.89182870372</v>
      </c>
      <c r="K47" s="39">
        <f>J47/$J$16</f>
        <v>-22566.358068929436</v>
      </c>
      <c r="L47" s="28">
        <f>FINV(0.05,H47,$H$16)</f>
        <v>2.2253399674380931</v>
      </c>
      <c r="M47" s="28" t="str">
        <f t="shared" ref="M47" si="14">IF(K47&gt;=L47, "S", "NS")</f>
        <v>NS</v>
      </c>
      <c r="N47" s="21"/>
      <c r="O47" s="30">
        <v>3</v>
      </c>
      <c r="P47" s="28">
        <f t="shared" si="12"/>
        <v>69.316666666666663</v>
      </c>
      <c r="Q47" s="31">
        <f t="shared" si="13"/>
        <v>2</v>
      </c>
      <c r="R47" s="37">
        <v>2</v>
      </c>
    </row>
    <row r="48" spans="1:18" s="16" customFormat="1" x14ac:dyDescent="0.25">
      <c r="A48" s="27" t="s">
        <v>44</v>
      </c>
      <c r="B48" s="6">
        <v>68.8</v>
      </c>
      <c r="C48" s="6">
        <v>64.599999999999994</v>
      </c>
      <c r="D48" s="6">
        <v>65.900000000000006</v>
      </c>
      <c r="E48" s="28">
        <f t="shared" si="8"/>
        <v>199.29999999999998</v>
      </c>
      <c r="F48" s="28">
        <f t="shared" si="9"/>
        <v>66.433333333333323</v>
      </c>
      <c r="G48" s="40" t="s">
        <v>45</v>
      </c>
      <c r="H48" s="28">
        <f>((B39-1)*(B37*B38-1))</f>
        <v>34</v>
      </c>
      <c r="I48" s="28">
        <f>D63</f>
        <v>245.83740740737994</v>
      </c>
      <c r="J48" s="28">
        <f t="shared" si="10"/>
        <v>7.2305119825699986</v>
      </c>
      <c r="O48" s="30">
        <v>4</v>
      </c>
      <c r="P48" s="28">
        <f t="shared" si="12"/>
        <v>61.116666666666667</v>
      </c>
      <c r="Q48" s="31">
        <f t="shared" si="13"/>
        <v>7</v>
      </c>
      <c r="R48" s="37">
        <v>7</v>
      </c>
    </row>
    <row r="49" spans="1:18" x14ac:dyDescent="0.25">
      <c r="A49" s="27" t="s">
        <v>46</v>
      </c>
      <c r="B49" s="6">
        <v>59.900000000000006</v>
      </c>
      <c r="C49" s="6">
        <v>61.599999999999994</v>
      </c>
      <c r="D49" s="6">
        <v>58.8</v>
      </c>
      <c r="E49" s="28">
        <f t="shared" si="8"/>
        <v>180.3</v>
      </c>
      <c r="F49" s="28">
        <f t="shared" si="9"/>
        <v>60.1</v>
      </c>
      <c r="G49" s="39" t="s">
        <v>20</v>
      </c>
      <c r="H49" s="28">
        <f>SUM(H43:H48)-H44</f>
        <v>53</v>
      </c>
      <c r="I49" s="28">
        <f>B62</f>
        <v>5119.7103703702742</v>
      </c>
      <c r="K49" s="28" t="s">
        <v>47</v>
      </c>
      <c r="L49" s="16">
        <f>TINV(0.05,34)</f>
        <v>2.0322445093177191</v>
      </c>
      <c r="O49" s="30">
        <v>5</v>
      </c>
      <c r="P49" s="28">
        <f t="shared" si="12"/>
        <v>67.25</v>
      </c>
      <c r="Q49" s="31">
        <f t="shared" si="13"/>
        <v>3</v>
      </c>
      <c r="R49" s="35">
        <v>3</v>
      </c>
    </row>
    <row r="50" spans="1:18" x14ac:dyDescent="0.25">
      <c r="A50" s="27" t="s">
        <v>48</v>
      </c>
      <c r="B50" s="8">
        <v>35.700000000000003</v>
      </c>
      <c r="C50" s="8">
        <v>33.200000000000003</v>
      </c>
      <c r="D50" s="8">
        <v>39.4</v>
      </c>
      <c r="E50" s="28">
        <f t="shared" si="8"/>
        <v>108.30000000000001</v>
      </c>
      <c r="F50" s="28">
        <f t="shared" si="9"/>
        <v>36.1</v>
      </c>
      <c r="G50" s="42" t="s">
        <v>33</v>
      </c>
      <c r="H50" s="28">
        <f>SQRT(J48/3)</f>
        <v>1.5524724348137928</v>
      </c>
      <c r="O50" s="30">
        <v>6</v>
      </c>
      <c r="P50" s="28">
        <f t="shared" si="12"/>
        <v>71.2</v>
      </c>
      <c r="Q50" s="31">
        <f t="shared" si="13"/>
        <v>1</v>
      </c>
      <c r="R50" s="37">
        <v>1</v>
      </c>
    </row>
    <row r="51" spans="1:18" x14ac:dyDescent="0.25">
      <c r="A51" s="27" t="s">
        <v>49</v>
      </c>
      <c r="B51" s="6">
        <v>60.5</v>
      </c>
      <c r="C51" s="6">
        <v>64.2</v>
      </c>
      <c r="D51" s="6">
        <v>63.8</v>
      </c>
      <c r="E51" s="28">
        <f t="shared" si="8"/>
        <v>188.5</v>
      </c>
      <c r="F51" s="28">
        <f t="shared" si="9"/>
        <v>62.833333333333336</v>
      </c>
      <c r="G51" s="42" t="s">
        <v>37</v>
      </c>
      <c r="H51" s="28">
        <f>(SQRT((2*J48)/3))*L49</f>
        <v>4.4618488543176538</v>
      </c>
      <c r="O51" s="30">
        <v>7</v>
      </c>
      <c r="P51" s="28">
        <f t="shared" si="12"/>
        <v>62.18333333333333</v>
      </c>
      <c r="Q51" s="31">
        <f t="shared" si="13"/>
        <v>6</v>
      </c>
      <c r="R51" s="37">
        <v>6</v>
      </c>
    </row>
    <row r="52" spans="1:18" x14ac:dyDescent="0.25">
      <c r="A52" s="27" t="s">
        <v>50</v>
      </c>
      <c r="B52" s="6">
        <v>69.8</v>
      </c>
      <c r="C52" s="6">
        <v>64.599999999999994</v>
      </c>
      <c r="D52" s="6">
        <v>70.8</v>
      </c>
      <c r="E52" s="28">
        <f t="shared" si="8"/>
        <v>205.2</v>
      </c>
      <c r="F52" s="28">
        <f t="shared" si="9"/>
        <v>68.399999999999991</v>
      </c>
      <c r="G52" s="42" t="s">
        <v>51</v>
      </c>
      <c r="H52" s="28">
        <f>((SQRT(J48))/F59)*100</f>
        <v>4.3482033077850275</v>
      </c>
      <c r="O52" s="30">
        <v>8</v>
      </c>
      <c r="P52" s="28">
        <f t="shared" si="12"/>
        <v>65.55</v>
      </c>
      <c r="Q52" s="31">
        <f t="shared" si="13"/>
        <v>4</v>
      </c>
      <c r="R52" s="35">
        <v>4</v>
      </c>
    </row>
    <row r="53" spans="1:18" x14ac:dyDescent="0.25">
      <c r="A53" s="27" t="s">
        <v>52</v>
      </c>
      <c r="B53" s="6">
        <v>58.900000000000006</v>
      </c>
      <c r="C53" s="6">
        <v>59.1</v>
      </c>
      <c r="D53" s="6">
        <v>63.1</v>
      </c>
      <c r="E53" s="28">
        <f t="shared" si="8"/>
        <v>181.1</v>
      </c>
      <c r="F53" s="28">
        <f t="shared" si="9"/>
        <v>60.366666666666667</v>
      </c>
      <c r="O53" s="30">
        <v>9</v>
      </c>
      <c r="P53" s="28">
        <f t="shared" si="12"/>
        <v>59.05</v>
      </c>
      <c r="Q53" s="31">
        <f t="shared" si="13"/>
        <v>8</v>
      </c>
      <c r="R53" s="37">
        <v>8</v>
      </c>
    </row>
    <row r="54" spans="1:18" x14ac:dyDescent="0.25">
      <c r="A54" s="27" t="s">
        <v>53</v>
      </c>
      <c r="B54" s="6">
        <v>63.5</v>
      </c>
      <c r="C54" s="6">
        <v>69.2</v>
      </c>
      <c r="D54" s="6">
        <v>66.8</v>
      </c>
      <c r="E54" s="28">
        <f t="shared" si="8"/>
        <v>199.5</v>
      </c>
      <c r="F54" s="28">
        <f t="shared" si="9"/>
        <v>66.5</v>
      </c>
      <c r="O54" s="25" t="s">
        <v>33</v>
      </c>
      <c r="P54" s="33">
        <f>SQRT(J48/(3*2))</f>
        <v>1.0977637862620233</v>
      </c>
      <c r="Q54" s="31"/>
    </row>
    <row r="55" spans="1:18" x14ac:dyDescent="0.25">
      <c r="A55" s="27" t="s">
        <v>55</v>
      </c>
      <c r="B55" s="6">
        <v>71.599999999999994</v>
      </c>
      <c r="C55" s="6">
        <v>73.2</v>
      </c>
      <c r="D55" s="6">
        <v>66.5</v>
      </c>
      <c r="E55" s="28">
        <f t="shared" si="8"/>
        <v>211.3</v>
      </c>
      <c r="F55" s="28">
        <f t="shared" si="9"/>
        <v>70.433333333333337</v>
      </c>
      <c r="G55" s="43"/>
      <c r="N55" s="25" t="s">
        <v>41</v>
      </c>
      <c r="O55" s="25" t="s">
        <v>37</v>
      </c>
      <c r="P55" s="33">
        <f>SQRT((2*J48)/(3*2))*L49</f>
        <v>3.1550035815174411</v>
      </c>
      <c r="Q55" s="31"/>
    </row>
    <row r="56" spans="1:18" x14ac:dyDescent="0.25">
      <c r="A56" s="27" t="s">
        <v>56</v>
      </c>
      <c r="B56" s="6">
        <v>61.8</v>
      </c>
      <c r="C56" s="6">
        <v>63.599999999999994</v>
      </c>
      <c r="D56" s="6">
        <v>58.8</v>
      </c>
      <c r="E56" s="28">
        <f t="shared" si="8"/>
        <v>184.2</v>
      </c>
      <c r="F56" s="28">
        <f>E56/3</f>
        <v>61.4</v>
      </c>
      <c r="G56" s="43"/>
      <c r="Q56" s="31"/>
    </row>
    <row r="57" spans="1:18" x14ac:dyDescent="0.25">
      <c r="A57" s="27" t="s">
        <v>57</v>
      </c>
      <c r="B57" s="6">
        <v>62.2</v>
      </c>
      <c r="C57" s="6">
        <v>65.599999999999994</v>
      </c>
      <c r="D57" s="6">
        <v>66.2</v>
      </c>
      <c r="E57" s="28">
        <f t="shared" si="8"/>
        <v>194</v>
      </c>
      <c r="F57" s="28">
        <f t="shared" ref="F57:F58" si="15">E57/3</f>
        <v>64.666666666666671</v>
      </c>
      <c r="G57" s="43"/>
    </row>
    <row r="58" spans="1:18" x14ac:dyDescent="0.25">
      <c r="A58" s="27" t="s">
        <v>58</v>
      </c>
      <c r="B58" s="6">
        <v>59.8</v>
      </c>
      <c r="C58" s="6">
        <v>58.5</v>
      </c>
      <c r="D58" s="6">
        <v>55.7</v>
      </c>
      <c r="E58" s="28">
        <f t="shared" si="8"/>
        <v>174</v>
      </c>
      <c r="F58" s="28">
        <f t="shared" si="15"/>
        <v>58</v>
      </c>
      <c r="G58" s="43"/>
    </row>
    <row r="59" spans="1:18" x14ac:dyDescent="0.25">
      <c r="A59" s="25" t="s">
        <v>20</v>
      </c>
      <c r="B59" s="28">
        <f>SUM(B41:B58)</f>
        <v>1106.6999999999998</v>
      </c>
      <c r="C59" s="28">
        <f t="shared" ref="C59:D59" si="16">SUM(C41:C58)</f>
        <v>1114.8000000000002</v>
      </c>
      <c r="D59" s="28">
        <f t="shared" si="16"/>
        <v>1117.8999999999999</v>
      </c>
      <c r="E59" s="28">
        <f>SUM(E41:E58)</f>
        <v>3339.4</v>
      </c>
      <c r="F59" s="28">
        <f>AVERAGE(B41:D58)</f>
        <v>61.840740740740728</v>
      </c>
      <c r="G59" s="43"/>
    </row>
    <row r="60" spans="1:18" x14ac:dyDescent="0.25">
      <c r="A60" s="25" t="s">
        <v>11</v>
      </c>
      <c r="B60" s="28">
        <f>B59/18</f>
        <v>61.48333333333332</v>
      </c>
      <c r="C60" s="28">
        <f>C59/18</f>
        <v>61.933333333333344</v>
      </c>
      <c r="D60" s="28">
        <f>D59/18</f>
        <v>62.105555555555547</v>
      </c>
      <c r="G60" s="43"/>
    </row>
    <row r="61" spans="1:18" x14ac:dyDescent="0.25">
      <c r="A61" s="25" t="s">
        <v>59</v>
      </c>
      <c r="B61" s="28">
        <f>(E59*E59)/54</f>
        <v>206510.96962962966</v>
      </c>
      <c r="C61" s="28"/>
      <c r="D61" s="28"/>
      <c r="G61" s="43"/>
    </row>
    <row r="62" spans="1:18" x14ac:dyDescent="0.25">
      <c r="A62" s="25" t="s">
        <v>60</v>
      </c>
      <c r="B62" s="28">
        <f>SUMSQ(B41:D58)-B61</f>
        <v>5119.7103703702742</v>
      </c>
      <c r="C62" s="25" t="s">
        <v>61</v>
      </c>
      <c r="D62" s="28">
        <f>(SUMSQ(B59:D59)/18)-B61</f>
        <v>3.7159259258769453</v>
      </c>
      <c r="G62" s="43"/>
    </row>
    <row r="63" spans="1:18" x14ac:dyDescent="0.25">
      <c r="A63" s="25" t="s">
        <v>62</v>
      </c>
      <c r="B63" s="28">
        <f>(SUMSQ(E41:E58)/3)-B61</f>
        <v>4870.1570370370173</v>
      </c>
      <c r="C63" s="25" t="s">
        <v>63</v>
      </c>
      <c r="D63" s="28">
        <f>B62-B63-D62</f>
        <v>245.83740740737994</v>
      </c>
      <c r="G63" s="43"/>
    </row>
    <row r="67" spans="1:19" ht="15.75" x14ac:dyDescent="0.25">
      <c r="C67" s="18" t="s">
        <v>65</v>
      </c>
    </row>
    <row r="69" spans="1:19" x14ac:dyDescent="0.25">
      <c r="A69" s="19" t="s">
        <v>13</v>
      </c>
      <c r="B69" s="20">
        <v>2</v>
      </c>
      <c r="C69" s="21"/>
      <c r="D69" s="21"/>
      <c r="E69" s="21"/>
      <c r="F69" s="21"/>
      <c r="G69" s="21"/>
      <c r="H69" s="21"/>
      <c r="L69" s="21"/>
      <c r="M69" s="22"/>
      <c r="N69" s="22"/>
      <c r="O69" s="21"/>
      <c r="P69" s="21"/>
    </row>
    <row r="70" spans="1:19" x14ac:dyDescent="0.25">
      <c r="A70" s="19" t="s">
        <v>14</v>
      </c>
      <c r="B70" s="20">
        <v>9</v>
      </c>
      <c r="C70" s="21" t="s">
        <v>15</v>
      </c>
      <c r="D70" s="21">
        <v>18</v>
      </c>
      <c r="E70" s="21"/>
      <c r="F70" s="21"/>
      <c r="G70" s="21"/>
      <c r="H70" s="21"/>
      <c r="L70" s="21"/>
      <c r="M70" s="22"/>
      <c r="N70" s="22"/>
      <c r="O70" s="21"/>
      <c r="P70" s="21"/>
    </row>
    <row r="71" spans="1:19" x14ac:dyDescent="0.25">
      <c r="A71" s="15" t="s">
        <v>16</v>
      </c>
      <c r="B71" s="23">
        <v>3</v>
      </c>
    </row>
    <row r="72" spans="1:19" x14ac:dyDescent="0.25">
      <c r="A72" s="24" t="s">
        <v>0</v>
      </c>
      <c r="B72" s="25" t="s">
        <v>17</v>
      </c>
      <c r="C72" s="25" t="s">
        <v>18</v>
      </c>
      <c r="D72" s="25" t="s">
        <v>19</v>
      </c>
      <c r="E72" s="25" t="s">
        <v>20</v>
      </c>
      <c r="F72" s="25" t="s">
        <v>11</v>
      </c>
      <c r="O72" s="16" t="s">
        <v>21</v>
      </c>
      <c r="R72" s="16"/>
      <c r="S72" s="16"/>
    </row>
    <row r="73" spans="1:19" x14ac:dyDescent="0.25">
      <c r="A73" s="27" t="s">
        <v>22</v>
      </c>
      <c r="B73" s="44">
        <f t="shared" ref="B73:D88" si="17">(B9+B41)</f>
        <v>63.9</v>
      </c>
      <c r="C73" s="44">
        <f t="shared" si="17"/>
        <v>60.4</v>
      </c>
      <c r="D73" s="44">
        <f t="shared" si="17"/>
        <v>62.36</v>
      </c>
      <c r="E73" s="28">
        <f>SUM(B73:D73)</f>
        <v>186.66</v>
      </c>
      <c r="F73" s="28">
        <f>E73/3</f>
        <v>62.22</v>
      </c>
      <c r="H73" s="29"/>
      <c r="I73" s="29"/>
      <c r="J73" s="29" t="s">
        <v>23</v>
      </c>
      <c r="K73" s="29"/>
      <c r="L73" s="29"/>
      <c r="M73" s="29"/>
      <c r="N73" s="29"/>
      <c r="O73" s="30">
        <v>1</v>
      </c>
      <c r="P73" s="28">
        <f>SUM(F73:F81)/9</f>
        <v>103.14518518518518</v>
      </c>
      <c r="Q73" s="31">
        <f>RANK(P73,P$73:P$74,0)</f>
        <v>1</v>
      </c>
      <c r="R73" s="16"/>
      <c r="S73" s="16"/>
    </row>
    <row r="74" spans="1:19" x14ac:dyDescent="0.25">
      <c r="A74" s="27" t="s">
        <v>24</v>
      </c>
      <c r="B74" s="44">
        <f t="shared" si="17"/>
        <v>100.1</v>
      </c>
      <c r="C74" s="44">
        <f t="shared" si="17"/>
        <v>108.4</v>
      </c>
      <c r="D74" s="44">
        <f t="shared" si="17"/>
        <v>109.7</v>
      </c>
      <c r="E74" s="28">
        <f t="shared" ref="E74:E90" si="18">SUM(B74:D74)</f>
        <v>318.2</v>
      </c>
      <c r="F74" s="28">
        <f t="shared" ref="F74:F87" si="19">E74/3</f>
        <v>106.06666666666666</v>
      </c>
      <c r="G74" s="28"/>
      <c r="H74" s="25" t="s">
        <v>25</v>
      </c>
      <c r="I74" s="25" t="s">
        <v>26</v>
      </c>
      <c r="J74" s="25" t="s">
        <v>27</v>
      </c>
      <c r="K74" s="25" t="s">
        <v>28</v>
      </c>
      <c r="L74" s="25" t="s">
        <v>29</v>
      </c>
      <c r="M74" s="25" t="s">
        <v>30</v>
      </c>
      <c r="N74" s="32"/>
      <c r="O74" s="30">
        <v>2</v>
      </c>
      <c r="P74" s="28">
        <f>SUM(F82:F90)/9</f>
        <v>99.659259259259258</v>
      </c>
      <c r="Q74" s="31">
        <f>RANK(P74,P$73:P$74,0)</f>
        <v>2</v>
      </c>
      <c r="R74" s="16"/>
      <c r="S74" s="16"/>
    </row>
    <row r="75" spans="1:19" x14ac:dyDescent="0.25">
      <c r="A75" s="27" t="s">
        <v>31</v>
      </c>
      <c r="B75" s="44">
        <f t="shared" si="17"/>
        <v>117.5</v>
      </c>
      <c r="C75" s="44">
        <f t="shared" si="17"/>
        <v>117.76</v>
      </c>
      <c r="D75" s="44">
        <f t="shared" si="17"/>
        <v>117.39999999999999</v>
      </c>
      <c r="E75" s="28">
        <f t="shared" si="18"/>
        <v>352.65999999999997</v>
      </c>
      <c r="F75" s="28">
        <f t="shared" si="19"/>
        <v>117.55333333333333</v>
      </c>
      <c r="G75" s="28" t="s">
        <v>32</v>
      </c>
      <c r="H75" s="28">
        <f>B71-1</f>
        <v>2</v>
      </c>
      <c r="I75" s="28">
        <f>D94</f>
        <v>1.434133333270438</v>
      </c>
      <c r="J75" s="28">
        <f>I75/H75</f>
        <v>0.71706666663521901</v>
      </c>
      <c r="K75" s="28">
        <f>J75/$J$16</f>
        <v>0.13596724560197979</v>
      </c>
      <c r="L75" s="28">
        <f>FINV(0.05,H75,$H$16)</f>
        <v>3.275897990672394</v>
      </c>
      <c r="M75" s="28" t="str">
        <f>IF(K75&gt;=L75, "S", "NS")</f>
        <v>NS</v>
      </c>
      <c r="N75" s="21"/>
      <c r="O75" s="25" t="s">
        <v>33</v>
      </c>
      <c r="P75" s="33">
        <f>SQRT(J80/(3*9))</f>
        <v>0.79123924937160639</v>
      </c>
      <c r="R75" s="16"/>
      <c r="S75" s="16"/>
    </row>
    <row r="76" spans="1:19" x14ac:dyDescent="0.25">
      <c r="A76" s="27" t="s">
        <v>34</v>
      </c>
      <c r="B76" s="44">
        <f t="shared" si="17"/>
        <v>100.2</v>
      </c>
      <c r="C76" s="44">
        <f t="shared" si="17"/>
        <v>97.3</v>
      </c>
      <c r="D76" s="44">
        <f t="shared" si="17"/>
        <v>100.7</v>
      </c>
      <c r="E76" s="28">
        <f t="shared" si="18"/>
        <v>298.2</v>
      </c>
      <c r="F76" s="28">
        <f t="shared" si="19"/>
        <v>99.399999999999991</v>
      </c>
      <c r="G76" s="28" t="s">
        <v>35</v>
      </c>
      <c r="H76" s="28">
        <f>D70-1</f>
        <v>17</v>
      </c>
      <c r="I76" s="28">
        <f>B95</f>
        <v>15082.034133333131</v>
      </c>
      <c r="J76" s="28">
        <f t="shared" ref="J76:J80" si="20">I76/H76</f>
        <v>887.17847843136065</v>
      </c>
      <c r="K76" s="28">
        <f>J76/$J$16</f>
        <v>168.22315090408762</v>
      </c>
      <c r="L76" s="28">
        <f>FINV(0.05,H76,$H$16)</f>
        <v>1.9332068318040869</v>
      </c>
      <c r="M76" s="34" t="str">
        <f t="shared" ref="M76" si="21">IF(K76&gt;=L76, "S", "NS")</f>
        <v>S</v>
      </c>
      <c r="N76" s="25" t="s">
        <v>36</v>
      </c>
      <c r="O76" s="25" t="s">
        <v>37</v>
      </c>
      <c r="P76" s="33">
        <f>SQRT((2*J80)/(3*9))*L81</f>
        <v>2.274043557316562</v>
      </c>
      <c r="R76" s="16"/>
      <c r="S76" s="16"/>
    </row>
    <row r="77" spans="1:19" x14ac:dyDescent="0.25">
      <c r="A77" s="27" t="s">
        <v>38</v>
      </c>
      <c r="B77" s="44">
        <f t="shared" si="17"/>
        <v>116.2</v>
      </c>
      <c r="C77" s="44">
        <f t="shared" si="17"/>
        <v>114.4</v>
      </c>
      <c r="D77" s="44">
        <f t="shared" si="17"/>
        <v>111.3</v>
      </c>
      <c r="E77" s="28">
        <f t="shared" si="18"/>
        <v>341.90000000000003</v>
      </c>
      <c r="F77" s="28">
        <f t="shared" si="19"/>
        <v>113.96666666666668</v>
      </c>
      <c r="G77" s="28" t="s">
        <v>39</v>
      </c>
      <c r="H77" s="28">
        <f>B69-1</f>
        <v>1</v>
      </c>
      <c r="I77" s="28">
        <f>(SUM(E73:E81)^2+SUM(E82:E90)^2)/27-B93</f>
        <v>164.04767407395411</v>
      </c>
      <c r="J77" s="28">
        <f t="shared" si="20"/>
        <v>164.04767407395411</v>
      </c>
      <c r="K77" s="28">
        <f>J77/$J$16</f>
        <v>31.106048334267008</v>
      </c>
      <c r="L77" s="28">
        <f>FINV(0.05,H77,$H$16)</f>
        <v>4.1300177456520188</v>
      </c>
      <c r="M77" s="28" t="str">
        <f>IF(K77&gt;=L77, "S", "NS")</f>
        <v>S</v>
      </c>
      <c r="N77" s="21"/>
      <c r="O77" s="30">
        <v>1</v>
      </c>
      <c r="P77" s="28">
        <f>(F73+F82)/2</f>
        <v>59.943333333333328</v>
      </c>
      <c r="Q77" s="31">
        <f>RANK(P77,P$77:P$85,0)</f>
        <v>9</v>
      </c>
      <c r="R77" s="35">
        <v>9</v>
      </c>
      <c r="S77" s="16"/>
    </row>
    <row r="78" spans="1:19" x14ac:dyDescent="0.25">
      <c r="A78" s="27" t="s">
        <v>40</v>
      </c>
      <c r="B78" s="44">
        <f t="shared" si="17"/>
        <v>123</v>
      </c>
      <c r="C78" s="44">
        <f t="shared" si="17"/>
        <v>126.89999999999999</v>
      </c>
      <c r="D78" s="44">
        <f t="shared" si="17"/>
        <v>115.39999999999999</v>
      </c>
      <c r="E78" s="28">
        <f t="shared" si="18"/>
        <v>365.29999999999995</v>
      </c>
      <c r="F78" s="28">
        <f t="shared" si="19"/>
        <v>121.76666666666665</v>
      </c>
      <c r="G78" s="28" t="s">
        <v>41</v>
      </c>
      <c r="H78" s="28">
        <f>B70-1</f>
        <v>8</v>
      </c>
      <c r="I78" s="28">
        <f>((E73+E82)^2+(E74+E83)^2+(E75+E84)^2+(E76+E85)^2+(E77+E86)^2+(E78+E87)^2+(E79+E88)^2+(E80+E89)^2+(E81+E90)^2/6)-B93</f>
        <v>2595871.4585999995</v>
      </c>
      <c r="J78" s="28">
        <f t="shared" si="20"/>
        <v>324483.93232499994</v>
      </c>
      <c r="K78" s="28">
        <f>J78/$J$16</f>
        <v>61527.314785604794</v>
      </c>
      <c r="L78" s="28">
        <f>FINV(0.05,H78,$H$16)</f>
        <v>2.2253399674380931</v>
      </c>
      <c r="M78" s="28" t="str">
        <f>IF(K78&gt;=L78, "S", "NS")</f>
        <v>S</v>
      </c>
      <c r="N78" s="21"/>
      <c r="O78" s="30">
        <v>2</v>
      </c>
      <c r="P78" s="28">
        <f t="shared" ref="P78:P85" si="22">(F74+F83)/2</f>
        <v>103.23333333333332</v>
      </c>
      <c r="Q78" s="31">
        <f t="shared" ref="Q78:Q84" si="23">RANK(P78,P$77:P$85,0)</f>
        <v>5</v>
      </c>
      <c r="R78" s="37">
        <v>5</v>
      </c>
      <c r="S78" s="16"/>
    </row>
    <row r="79" spans="1:19" x14ac:dyDescent="0.25">
      <c r="A79" s="27" t="s">
        <v>42</v>
      </c>
      <c r="B79" s="44">
        <f t="shared" si="17"/>
        <v>103.7</v>
      </c>
      <c r="C79" s="44">
        <f t="shared" si="17"/>
        <v>100.3</v>
      </c>
      <c r="D79" s="44">
        <f t="shared" si="17"/>
        <v>103.5</v>
      </c>
      <c r="E79" s="28">
        <f t="shared" si="18"/>
        <v>307.5</v>
      </c>
      <c r="F79" s="28">
        <f t="shared" si="19"/>
        <v>102.5</v>
      </c>
      <c r="G79" s="38" t="s">
        <v>43</v>
      </c>
      <c r="H79" s="28">
        <f>H77*H78</f>
        <v>8</v>
      </c>
      <c r="I79" s="28">
        <f>I76-(I77+I78)</f>
        <v>-2580953.4721407401</v>
      </c>
      <c r="J79" s="28">
        <f t="shared" si="20"/>
        <v>-322619.18401759252</v>
      </c>
      <c r="K79" s="39">
        <f>J79/$J$16</f>
        <v>-61173.728845975384</v>
      </c>
      <c r="L79" s="28">
        <f>FINV(0.05,H79,$H$16)</f>
        <v>2.2253399674380931</v>
      </c>
      <c r="M79" s="28" t="str">
        <f t="shared" ref="M79" si="24">IF(K79&gt;=L79, "S", "NS")</f>
        <v>NS</v>
      </c>
      <c r="N79" s="21"/>
      <c r="O79" s="30">
        <v>3</v>
      </c>
      <c r="P79" s="28">
        <f t="shared" si="22"/>
        <v>116.21000000000001</v>
      </c>
      <c r="Q79" s="31">
        <f t="shared" si="23"/>
        <v>2</v>
      </c>
      <c r="R79" s="37">
        <v>2</v>
      </c>
      <c r="S79" s="16"/>
    </row>
    <row r="80" spans="1:19" x14ac:dyDescent="0.25">
      <c r="A80" s="27" t="s">
        <v>44</v>
      </c>
      <c r="B80" s="44">
        <f t="shared" si="17"/>
        <v>112.3</v>
      </c>
      <c r="C80" s="44">
        <f t="shared" si="17"/>
        <v>107.1</v>
      </c>
      <c r="D80" s="44">
        <f t="shared" si="17"/>
        <v>107.80000000000001</v>
      </c>
      <c r="E80" s="28">
        <f t="shared" si="18"/>
        <v>327.2</v>
      </c>
      <c r="F80" s="28">
        <f t="shared" si="19"/>
        <v>109.06666666666666</v>
      </c>
      <c r="G80" s="40" t="s">
        <v>45</v>
      </c>
      <c r="H80" s="28">
        <f>((B71-1)*(B69*B70-1))</f>
        <v>34</v>
      </c>
      <c r="I80" s="28">
        <f>D95</f>
        <v>574.72266666695941</v>
      </c>
      <c r="J80" s="28">
        <f t="shared" si="20"/>
        <v>16.903607843145863</v>
      </c>
      <c r="O80" s="30">
        <v>4</v>
      </c>
      <c r="P80" s="28">
        <f t="shared" si="22"/>
        <v>98.633333333333326</v>
      </c>
      <c r="Q80" s="31">
        <f t="shared" si="23"/>
        <v>7</v>
      </c>
      <c r="R80" s="37">
        <v>7</v>
      </c>
      <c r="S80" s="16"/>
    </row>
    <row r="81" spans="1:18" x14ac:dyDescent="0.25">
      <c r="A81" s="27" t="s">
        <v>46</v>
      </c>
      <c r="B81" s="44">
        <f t="shared" si="17"/>
        <v>96.4</v>
      </c>
      <c r="C81" s="44">
        <f t="shared" si="17"/>
        <v>97.3</v>
      </c>
      <c r="D81" s="44">
        <f t="shared" si="17"/>
        <v>93.6</v>
      </c>
      <c r="E81" s="28">
        <f t="shared" si="18"/>
        <v>287.29999999999995</v>
      </c>
      <c r="F81" s="28">
        <f t="shared" si="19"/>
        <v>95.766666666666652</v>
      </c>
      <c r="G81" s="39" t="s">
        <v>20</v>
      </c>
      <c r="H81" s="28">
        <f>SUM(H75:H80)-H76</f>
        <v>53</v>
      </c>
      <c r="I81" s="28">
        <f>B94</f>
        <v>15658.190933333361</v>
      </c>
      <c r="K81" s="28" t="s">
        <v>47</v>
      </c>
      <c r="L81" s="16">
        <f>TINV(0.05,34)</f>
        <v>2.0322445093177191</v>
      </c>
      <c r="O81" s="30">
        <v>5</v>
      </c>
      <c r="P81" s="28">
        <f t="shared" si="22"/>
        <v>111.00000000000001</v>
      </c>
      <c r="Q81" s="31">
        <f t="shared" si="23"/>
        <v>3</v>
      </c>
      <c r="R81" s="35">
        <v>3</v>
      </c>
    </row>
    <row r="82" spans="1:18" x14ac:dyDescent="0.25">
      <c r="A82" s="27" t="s">
        <v>48</v>
      </c>
      <c r="B82" s="44">
        <f t="shared" si="17"/>
        <v>62.2</v>
      </c>
      <c r="C82" s="44">
        <f t="shared" si="17"/>
        <v>48.800000000000004</v>
      </c>
      <c r="D82" s="44">
        <f t="shared" si="17"/>
        <v>62</v>
      </c>
      <c r="E82" s="28">
        <f t="shared" si="18"/>
        <v>173</v>
      </c>
      <c r="F82" s="28">
        <f t="shared" si="19"/>
        <v>57.666666666666664</v>
      </c>
      <c r="G82" s="42" t="s">
        <v>33</v>
      </c>
      <c r="H82" s="28">
        <f>SQRT(J80/3)</f>
        <v>2.3737177481148191</v>
      </c>
      <c r="O82" s="30">
        <v>6</v>
      </c>
      <c r="P82" s="28">
        <f t="shared" si="22"/>
        <v>120.23333333333332</v>
      </c>
      <c r="Q82" s="31">
        <f t="shared" si="23"/>
        <v>1</v>
      </c>
      <c r="R82" s="37">
        <v>1</v>
      </c>
    </row>
    <row r="83" spans="1:18" x14ac:dyDescent="0.25">
      <c r="A83" s="27" t="s">
        <v>49</v>
      </c>
      <c r="B83" s="44">
        <f t="shared" si="17"/>
        <v>99</v>
      </c>
      <c r="C83" s="44">
        <f t="shared" si="17"/>
        <v>100.6</v>
      </c>
      <c r="D83" s="44">
        <f t="shared" si="17"/>
        <v>101.6</v>
      </c>
      <c r="E83" s="28">
        <f t="shared" si="18"/>
        <v>301.2</v>
      </c>
      <c r="F83" s="28">
        <f t="shared" si="19"/>
        <v>100.39999999999999</v>
      </c>
      <c r="G83" s="42" t="s">
        <v>37</v>
      </c>
      <c r="H83" s="28">
        <f>(SQRT((2*J80)/3))*L81</f>
        <v>6.8221306719496875</v>
      </c>
      <c r="O83" s="30">
        <v>7</v>
      </c>
      <c r="P83" s="28">
        <f t="shared" si="22"/>
        <v>100.69999999999999</v>
      </c>
      <c r="Q83" s="31">
        <f t="shared" si="23"/>
        <v>6</v>
      </c>
      <c r="R83" s="37">
        <v>6</v>
      </c>
    </row>
    <row r="84" spans="1:18" x14ac:dyDescent="0.25">
      <c r="A84" s="27" t="s">
        <v>50</v>
      </c>
      <c r="B84" s="44">
        <f t="shared" si="17"/>
        <v>117.6</v>
      </c>
      <c r="C84" s="44">
        <f t="shared" si="17"/>
        <v>111.39999999999999</v>
      </c>
      <c r="D84" s="44">
        <f t="shared" si="17"/>
        <v>115.6</v>
      </c>
      <c r="E84" s="28">
        <f t="shared" si="18"/>
        <v>344.6</v>
      </c>
      <c r="F84" s="28">
        <f t="shared" si="19"/>
        <v>114.86666666666667</v>
      </c>
      <c r="G84" s="42" t="s">
        <v>51</v>
      </c>
      <c r="H84" s="28">
        <f>((SQRT(J80))/F91)*100</f>
        <v>4.0545459975746354</v>
      </c>
      <c r="O84" s="30">
        <v>8</v>
      </c>
      <c r="P84" s="28">
        <f t="shared" si="22"/>
        <v>107.85</v>
      </c>
      <c r="Q84" s="31">
        <f t="shared" si="23"/>
        <v>4</v>
      </c>
      <c r="R84" s="35">
        <v>4</v>
      </c>
    </row>
    <row r="85" spans="1:18" x14ac:dyDescent="0.25">
      <c r="A85" s="27" t="s">
        <v>52</v>
      </c>
      <c r="B85" s="44">
        <f t="shared" si="17"/>
        <v>95.7</v>
      </c>
      <c r="C85" s="44">
        <f t="shared" si="17"/>
        <v>95</v>
      </c>
      <c r="D85" s="44">
        <f t="shared" si="17"/>
        <v>102.9</v>
      </c>
      <c r="E85" s="28">
        <f t="shared" si="18"/>
        <v>293.60000000000002</v>
      </c>
      <c r="F85" s="28">
        <f t="shared" si="19"/>
        <v>97.866666666666674</v>
      </c>
      <c r="O85" s="30">
        <v>9</v>
      </c>
      <c r="P85" s="28">
        <f t="shared" si="22"/>
        <v>94.816666666666663</v>
      </c>
      <c r="Q85" s="31">
        <f>RANK(P85,P$77:P$85,0)</f>
        <v>8</v>
      </c>
      <c r="R85" s="37">
        <v>8</v>
      </c>
    </row>
    <row r="86" spans="1:18" x14ac:dyDescent="0.25">
      <c r="A86" s="27" t="s">
        <v>53</v>
      </c>
      <c r="B86" s="44">
        <f t="shared" si="17"/>
        <v>100</v>
      </c>
      <c r="C86" s="44">
        <f t="shared" si="17"/>
        <v>114.80000000000001</v>
      </c>
      <c r="D86" s="44">
        <f t="shared" si="17"/>
        <v>109.3</v>
      </c>
      <c r="E86" s="28">
        <f t="shared" si="18"/>
        <v>324.10000000000002</v>
      </c>
      <c r="F86" s="28">
        <f t="shared" si="19"/>
        <v>108.03333333333335</v>
      </c>
      <c r="O86" s="25" t="s">
        <v>33</v>
      </c>
      <c r="P86" s="33">
        <f>SQRT(J80/(3*2))</f>
        <v>1.6784719163148498</v>
      </c>
      <c r="Q86" s="31"/>
    </row>
    <row r="87" spans="1:18" x14ac:dyDescent="0.25">
      <c r="A87" s="27" t="s">
        <v>55</v>
      </c>
      <c r="B87" s="44">
        <f t="shared" si="17"/>
        <v>118.39999999999999</v>
      </c>
      <c r="C87" s="44">
        <f t="shared" si="17"/>
        <v>124</v>
      </c>
      <c r="D87" s="44">
        <f t="shared" si="17"/>
        <v>113.7</v>
      </c>
      <c r="E87" s="28">
        <f t="shared" si="18"/>
        <v>356.09999999999997</v>
      </c>
      <c r="F87" s="28">
        <f t="shared" si="19"/>
        <v>118.69999999999999</v>
      </c>
      <c r="N87" s="25" t="s">
        <v>41</v>
      </c>
      <c r="O87" s="25" t="s">
        <v>37</v>
      </c>
      <c r="P87" s="33">
        <f>SQRT((2*J80)/(3*2))*L81</f>
        <v>4.8239748602763619</v>
      </c>
      <c r="Q87" s="31"/>
    </row>
    <row r="88" spans="1:18" x14ac:dyDescent="0.25">
      <c r="A88" s="27" t="s">
        <v>56</v>
      </c>
      <c r="B88" s="44">
        <f t="shared" si="17"/>
        <v>99.699999999999989</v>
      </c>
      <c r="C88" s="44">
        <f t="shared" si="17"/>
        <v>101.39999999999999</v>
      </c>
      <c r="D88" s="44">
        <f t="shared" si="17"/>
        <v>95.6</v>
      </c>
      <c r="E88" s="28">
        <f t="shared" si="18"/>
        <v>296.69999999999993</v>
      </c>
      <c r="F88" s="28">
        <f>E88/3</f>
        <v>98.899999999999977</v>
      </c>
      <c r="Q88" s="31"/>
    </row>
    <row r="89" spans="1:18" x14ac:dyDescent="0.25">
      <c r="A89" s="27" t="s">
        <v>57</v>
      </c>
      <c r="B89" s="44">
        <f t="shared" ref="B89:D90" si="25">(B25+B57)</f>
        <v>103.1</v>
      </c>
      <c r="C89" s="44">
        <f t="shared" si="25"/>
        <v>107.39999999999999</v>
      </c>
      <c r="D89" s="44">
        <f t="shared" si="25"/>
        <v>109.4</v>
      </c>
      <c r="E89" s="28">
        <f t="shared" si="18"/>
        <v>319.89999999999998</v>
      </c>
      <c r="F89" s="28">
        <f t="shared" ref="F89:F90" si="26">E89/3</f>
        <v>106.63333333333333</v>
      </c>
    </row>
    <row r="90" spans="1:18" x14ac:dyDescent="0.25">
      <c r="A90" s="27" t="s">
        <v>58</v>
      </c>
      <c r="B90" s="44">
        <f t="shared" si="25"/>
        <v>94.6</v>
      </c>
      <c r="C90" s="44">
        <f t="shared" si="25"/>
        <v>96.1</v>
      </c>
      <c r="D90" s="44">
        <f t="shared" si="25"/>
        <v>90.9</v>
      </c>
      <c r="E90" s="28">
        <f t="shared" si="18"/>
        <v>281.60000000000002</v>
      </c>
      <c r="F90" s="28">
        <f t="shared" si="26"/>
        <v>93.866666666666674</v>
      </c>
    </row>
    <row r="91" spans="1:18" x14ac:dyDescent="0.25">
      <c r="A91" s="25" t="s">
        <v>20</v>
      </c>
      <c r="B91" s="28">
        <f>SUM(B73:B90)</f>
        <v>1823.6</v>
      </c>
      <c r="C91" s="28">
        <f t="shared" ref="C91:D91" si="27">SUM(C73:C90)</f>
        <v>1829.36</v>
      </c>
      <c r="D91" s="28">
        <f t="shared" si="27"/>
        <v>1822.7600000000002</v>
      </c>
      <c r="E91" s="28">
        <f>SUM(E73:E90)</f>
        <v>5475.72</v>
      </c>
      <c r="F91" s="28">
        <f>AVERAGE(B73:D90)</f>
        <v>101.40222222222222</v>
      </c>
    </row>
    <row r="92" spans="1:18" x14ac:dyDescent="0.25">
      <c r="A92" s="25" t="s">
        <v>11</v>
      </c>
      <c r="B92" s="28">
        <f>B91/18</f>
        <v>101.3111111111111</v>
      </c>
      <c r="C92" s="28">
        <f>C91/18</f>
        <v>101.63111111111111</v>
      </c>
      <c r="D92" s="28">
        <f>D91/18</f>
        <v>101.26444444444445</v>
      </c>
    </row>
    <row r="93" spans="1:18" x14ac:dyDescent="0.25">
      <c r="A93" s="25" t="s">
        <v>59</v>
      </c>
      <c r="B93" s="28">
        <f>(E91*E91)/54</f>
        <v>555250.17626666673</v>
      </c>
      <c r="C93" s="28"/>
      <c r="D93" s="28"/>
    </row>
    <row r="94" spans="1:18" x14ac:dyDescent="0.25">
      <c r="A94" s="25" t="s">
        <v>60</v>
      </c>
      <c r="B94" s="28">
        <f>SUMSQ(B73:D90)-B93</f>
        <v>15658.190933333361</v>
      </c>
      <c r="C94" s="25" t="s">
        <v>61</v>
      </c>
      <c r="D94" s="28">
        <f>(SUMSQ(B91:D91)/18)-B93</f>
        <v>1.434133333270438</v>
      </c>
    </row>
    <row r="95" spans="1:18" x14ac:dyDescent="0.25">
      <c r="A95" s="25" t="s">
        <v>62</v>
      </c>
      <c r="B95" s="28">
        <f>(SUMSQ(E73:E90)/3)-B93</f>
        <v>15082.034133333131</v>
      </c>
      <c r="C95" s="25" t="s">
        <v>63</v>
      </c>
      <c r="D95" s="28">
        <f>B94-B95-D94</f>
        <v>574.72266666695941</v>
      </c>
    </row>
    <row r="99" spans="1:18" ht="15.75" x14ac:dyDescent="0.25">
      <c r="C99" s="18" t="s">
        <v>66</v>
      </c>
    </row>
    <row r="101" spans="1:18" x14ac:dyDescent="0.25">
      <c r="A101" s="19" t="s">
        <v>13</v>
      </c>
      <c r="B101" s="20">
        <v>2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2"/>
      <c r="N101" s="22"/>
      <c r="O101" s="21"/>
      <c r="P101" s="21"/>
    </row>
    <row r="102" spans="1:18" x14ac:dyDescent="0.25">
      <c r="A102" s="19" t="s">
        <v>14</v>
      </c>
      <c r="B102" s="20">
        <v>9</v>
      </c>
      <c r="C102" s="21" t="s">
        <v>15</v>
      </c>
      <c r="D102" s="21">
        <v>18</v>
      </c>
      <c r="E102" s="21"/>
      <c r="F102" s="21"/>
      <c r="G102" s="21"/>
      <c r="H102" s="21"/>
      <c r="I102" s="21"/>
      <c r="J102" s="21"/>
      <c r="K102" s="21"/>
      <c r="L102" s="21"/>
      <c r="M102" s="22"/>
      <c r="N102" s="22"/>
      <c r="O102" s="21"/>
      <c r="P102" s="21"/>
    </row>
    <row r="103" spans="1:18" x14ac:dyDescent="0.25">
      <c r="A103" s="15" t="s">
        <v>16</v>
      </c>
      <c r="B103" s="23">
        <v>3</v>
      </c>
    </row>
    <row r="104" spans="1:18" x14ac:dyDescent="0.25">
      <c r="A104" s="24" t="s">
        <v>0</v>
      </c>
      <c r="B104" s="25" t="s">
        <v>17</v>
      </c>
      <c r="C104" s="25" t="s">
        <v>18</v>
      </c>
      <c r="D104" s="25" t="s">
        <v>19</v>
      </c>
      <c r="E104" s="25" t="s">
        <v>20</v>
      </c>
      <c r="F104" s="25" t="s">
        <v>11</v>
      </c>
      <c r="O104" s="16" t="s">
        <v>21</v>
      </c>
      <c r="R104" s="16"/>
    </row>
    <row r="105" spans="1:18" x14ac:dyDescent="0.25">
      <c r="A105" s="27" t="s">
        <v>22</v>
      </c>
      <c r="B105" s="45">
        <f>(B9/B73)*100</f>
        <v>41.471048513302037</v>
      </c>
      <c r="C105" s="45">
        <f t="shared" ref="C105:D105" si="28">(C9/C73)*100</f>
        <v>39.07284768211921</v>
      </c>
      <c r="D105" s="45">
        <f t="shared" si="28"/>
        <v>34.573444515715202</v>
      </c>
      <c r="E105" s="28">
        <f>SUM(B105:D105)</f>
        <v>115.11734071113645</v>
      </c>
      <c r="F105" s="28">
        <f>E105/3</f>
        <v>38.372446903712152</v>
      </c>
      <c r="H105" s="29"/>
      <c r="I105" s="29"/>
      <c r="J105" s="29" t="s">
        <v>23</v>
      </c>
      <c r="K105" s="29"/>
      <c r="L105" s="29"/>
      <c r="M105" s="29"/>
      <c r="N105" s="29"/>
      <c r="O105" s="30">
        <v>1</v>
      </c>
      <c r="P105" s="33">
        <f>SUM(F105:F113)/9</f>
        <v>39.080680165953559</v>
      </c>
      <c r="Q105" s="31">
        <f>RANK(P105,P$105:P$106,0)</f>
        <v>1</v>
      </c>
      <c r="R105" s="16"/>
    </row>
    <row r="106" spans="1:18" x14ac:dyDescent="0.25">
      <c r="A106" s="27" t="s">
        <v>24</v>
      </c>
      <c r="B106" s="45">
        <f t="shared" ref="B106:D121" si="29">(B10/B74)*100</f>
        <v>38.861138861138862</v>
      </c>
      <c r="C106" s="45">
        <f t="shared" si="29"/>
        <v>38.929889298892988</v>
      </c>
      <c r="D106" s="45">
        <f t="shared" si="29"/>
        <v>39.653600729261626</v>
      </c>
      <c r="E106" s="28">
        <f t="shared" ref="E106:E122" si="30">SUM(B106:D106)</f>
        <v>117.44462888929348</v>
      </c>
      <c r="F106" s="28">
        <f t="shared" ref="F106:F119" si="31">E106/3</f>
        <v>39.148209629764494</v>
      </c>
      <c r="G106" s="28"/>
      <c r="H106" s="25" t="s">
        <v>25</v>
      </c>
      <c r="I106" s="25" t="s">
        <v>26</v>
      </c>
      <c r="J106" s="25" t="s">
        <v>27</v>
      </c>
      <c r="K106" s="25" t="s">
        <v>28</v>
      </c>
      <c r="L106" s="25" t="s">
        <v>29</v>
      </c>
      <c r="M106" s="25" t="s">
        <v>30</v>
      </c>
      <c r="N106" s="32"/>
      <c r="O106" s="30">
        <v>2</v>
      </c>
      <c r="P106" s="33">
        <f>SUM(F114:F122)/9</f>
        <v>38.638721277207438</v>
      </c>
      <c r="Q106" s="31">
        <f>RANK(P106,P$105:P$106,0)</f>
        <v>2</v>
      </c>
      <c r="R106" s="16"/>
    </row>
    <row r="107" spans="1:18" x14ac:dyDescent="0.25">
      <c r="A107" s="27" t="s">
        <v>31</v>
      </c>
      <c r="B107" s="45">
        <f t="shared" si="29"/>
        <v>41.361702127659576</v>
      </c>
      <c r="C107" s="45">
        <f t="shared" si="29"/>
        <v>40.38722826086957</v>
      </c>
      <c r="D107" s="45">
        <f t="shared" si="29"/>
        <v>39.011925042589439</v>
      </c>
      <c r="E107" s="28">
        <f t="shared" si="30"/>
        <v>120.76085543111859</v>
      </c>
      <c r="F107" s="28">
        <f t="shared" si="31"/>
        <v>40.253618477039531</v>
      </c>
      <c r="G107" s="28" t="s">
        <v>32</v>
      </c>
      <c r="H107" s="28">
        <f>B103-1</f>
        <v>2</v>
      </c>
      <c r="I107" s="28">
        <f>D126</f>
        <v>7.1538224760442972</v>
      </c>
      <c r="J107" s="28">
        <f>I107/H107</f>
        <v>3.5769112380221486</v>
      </c>
      <c r="K107" s="28">
        <f>J107/$J$16</f>
        <v>0.67823926480750474</v>
      </c>
      <c r="L107" s="28">
        <f>FINV(0.05,H107,$H$16)</f>
        <v>3.275897990672394</v>
      </c>
      <c r="M107" s="28" t="str">
        <f>IF(K107&gt;=L107, "S", "NS")</f>
        <v>NS</v>
      </c>
      <c r="N107" s="21"/>
      <c r="O107" s="25" t="s">
        <v>33</v>
      </c>
      <c r="P107" s="33">
        <f>SQRT(J112/(3*9))</f>
        <v>0.35237745739643189</v>
      </c>
      <c r="R107" s="16"/>
    </row>
    <row r="108" spans="1:18" x14ac:dyDescent="0.25">
      <c r="A108" s="27" t="s">
        <v>34</v>
      </c>
      <c r="B108" s="45">
        <f t="shared" si="29"/>
        <v>38.522954091816366</v>
      </c>
      <c r="C108" s="45">
        <f t="shared" si="29"/>
        <v>38.848920863309353</v>
      </c>
      <c r="D108" s="45">
        <f t="shared" si="29"/>
        <v>35.948361469712019</v>
      </c>
      <c r="E108" s="28">
        <f t="shared" si="30"/>
        <v>113.32023642483773</v>
      </c>
      <c r="F108" s="28">
        <f t="shared" si="31"/>
        <v>37.773412141612575</v>
      </c>
      <c r="G108" s="28" t="s">
        <v>35</v>
      </c>
      <c r="H108" s="28">
        <f>D102-1</f>
        <v>17</v>
      </c>
      <c r="I108" s="28">
        <f>B127</f>
        <v>78.219617053560796</v>
      </c>
      <c r="J108" s="28">
        <f t="shared" ref="J108:J112" si="32">I108/H108</f>
        <v>4.6011539443271054</v>
      </c>
      <c r="K108" s="28">
        <f>J108/$J$16</f>
        <v>0.87245197344962544</v>
      </c>
      <c r="L108" s="28">
        <f>FINV(0.05,H108,$H$16)</f>
        <v>1.9332068318040869</v>
      </c>
      <c r="M108" s="34" t="str">
        <f t="shared" ref="M108" si="33">IF(K108&gt;=L108, "S", "NS")</f>
        <v>NS</v>
      </c>
      <c r="N108" s="25" t="s">
        <v>36</v>
      </c>
      <c r="O108" s="25" t="s">
        <v>37</v>
      </c>
      <c r="P108" s="33">
        <f>SQRT((2*J112)/(3*9))*L113</f>
        <v>1.0127425900223583</v>
      </c>
      <c r="R108" s="16"/>
    </row>
    <row r="109" spans="1:18" x14ac:dyDescent="0.25">
      <c r="A109" s="27" t="s">
        <v>38</v>
      </c>
      <c r="B109" s="45">
        <f t="shared" si="29"/>
        <v>39.414802065404473</v>
      </c>
      <c r="C109" s="45">
        <f t="shared" si="29"/>
        <v>41.608391608391607</v>
      </c>
      <c r="D109" s="45">
        <f t="shared" si="29"/>
        <v>39.982030548068288</v>
      </c>
      <c r="E109" s="28">
        <f t="shared" si="30"/>
        <v>121.00522422186435</v>
      </c>
      <c r="F109" s="28">
        <f t="shared" si="31"/>
        <v>40.335074740621451</v>
      </c>
      <c r="G109" s="28" t="s">
        <v>39</v>
      </c>
      <c r="H109" s="28">
        <f>B101-1</f>
        <v>1</v>
      </c>
      <c r="I109" s="28">
        <f>(SUM(E105:E113)^2+SUM(E114:E122)^2)/27-B125</f>
        <v>2.6369234011217486</v>
      </c>
      <c r="J109" s="28">
        <f t="shared" si="32"/>
        <v>2.6369234011217486</v>
      </c>
      <c r="K109" s="28">
        <f>J109/$J$16</f>
        <v>0.50000261955604208</v>
      </c>
      <c r="L109" s="28">
        <f>FINV(0.05,H109,$H$16)</f>
        <v>4.1300177456520188</v>
      </c>
      <c r="M109" s="28" t="str">
        <f>IF(K109&gt;=L109, "S", "NS")</f>
        <v>NS</v>
      </c>
      <c r="N109" s="21"/>
      <c r="O109" s="30">
        <v>1</v>
      </c>
      <c r="P109" s="33">
        <f>(F105+F114)/2</f>
        <v>37.690111389472236</v>
      </c>
      <c r="Q109" s="31">
        <f>RANK(P109,P$109:P$117,0)</f>
        <v>9</v>
      </c>
      <c r="R109" s="35">
        <v>9</v>
      </c>
    </row>
    <row r="110" spans="1:18" x14ac:dyDescent="0.25">
      <c r="A110" s="27" t="s">
        <v>40</v>
      </c>
      <c r="B110" s="45">
        <f t="shared" si="29"/>
        <v>42.113821138211385</v>
      </c>
      <c r="C110" s="45">
        <f t="shared" si="29"/>
        <v>39.243498817966902</v>
      </c>
      <c r="D110" s="45">
        <f t="shared" si="29"/>
        <v>41.421143847487002</v>
      </c>
      <c r="E110" s="28">
        <f t="shared" si="30"/>
        <v>122.77846380366529</v>
      </c>
      <c r="F110" s="28">
        <f t="shared" si="31"/>
        <v>40.926154601221761</v>
      </c>
      <c r="G110" s="28" t="s">
        <v>41</v>
      </c>
      <c r="H110" s="28">
        <f>B102-1</f>
        <v>8</v>
      </c>
      <c r="I110" s="28">
        <f>((E105+E114)^2+(E106+E115)^2+(E107+E116)^2+(E108+E117)^2+(E109+E118)^2+(E110+E119)^2+(E111+E120)^2+(E112+E121)^2+(E113+E122)^2/6)-B125</f>
        <v>365392.61448911898</v>
      </c>
      <c r="J110" s="28">
        <f t="shared" si="32"/>
        <v>45674.076811139872</v>
      </c>
      <c r="K110" s="28">
        <f>J110/$J$16</f>
        <v>8660.5314517891838</v>
      </c>
      <c r="L110" s="28">
        <f>FINV(0.05,H110,$H$16)</f>
        <v>2.2253399674380931</v>
      </c>
      <c r="M110" s="28" t="str">
        <f>IF(K110&gt;=L110, "S", "NS")</f>
        <v>S</v>
      </c>
      <c r="N110" s="21"/>
      <c r="O110" s="30">
        <v>2</v>
      </c>
      <c r="P110" s="33">
        <f t="shared" ref="P110:P117" si="34">(F106+F115)/2</f>
        <v>38.286857462020706</v>
      </c>
      <c r="Q110" s="31">
        <f t="shared" ref="Q110:Q117" si="35">RANK(P110,P$109:P$117,0)</f>
        <v>5</v>
      </c>
      <c r="R110" s="37">
        <v>5</v>
      </c>
    </row>
    <row r="111" spans="1:18" x14ac:dyDescent="0.25">
      <c r="A111" s="27" t="s">
        <v>42</v>
      </c>
      <c r="B111" s="45">
        <f t="shared" si="29"/>
        <v>38.765670202507238</v>
      </c>
      <c r="C111" s="45">
        <f t="shared" si="29"/>
        <v>39.381854436689935</v>
      </c>
      <c r="D111" s="45">
        <f t="shared" si="29"/>
        <v>37.584541062801932</v>
      </c>
      <c r="E111" s="28">
        <f t="shared" si="30"/>
        <v>115.7320657019991</v>
      </c>
      <c r="F111" s="28">
        <f t="shared" si="31"/>
        <v>38.577355233999704</v>
      </c>
      <c r="G111" s="38" t="s">
        <v>43</v>
      </c>
      <c r="H111" s="28">
        <f>H109*H110</f>
        <v>8</v>
      </c>
      <c r="I111" s="28">
        <f>I108-(I109+I110)</f>
        <v>-365317.03179546649</v>
      </c>
      <c r="J111" s="28">
        <f t="shared" si="32"/>
        <v>-45664.628974433312</v>
      </c>
      <c r="K111" s="39">
        <f>J111/$J$16</f>
        <v>-8658.7399916730483</v>
      </c>
      <c r="L111" s="28">
        <f>FINV(0.05,H111,$H$16)</f>
        <v>2.2253399674380931</v>
      </c>
      <c r="M111" s="28" t="str">
        <f t="shared" ref="M111" si="36">IF(K111&gt;=L111, "S", "NS")</f>
        <v>NS</v>
      </c>
      <c r="N111" s="21"/>
      <c r="O111" s="30">
        <v>3</v>
      </c>
      <c r="P111" s="33">
        <f t="shared" si="34"/>
        <v>40.362035197809035</v>
      </c>
      <c r="Q111" s="31">
        <f t="shared" si="35"/>
        <v>2</v>
      </c>
      <c r="R111" s="37">
        <v>2</v>
      </c>
    </row>
    <row r="112" spans="1:18" x14ac:dyDescent="0.25">
      <c r="A112" s="27" t="s">
        <v>44</v>
      </c>
      <c r="B112" s="45">
        <f t="shared" si="29"/>
        <v>38.735529830810329</v>
      </c>
      <c r="C112" s="45">
        <f t="shared" si="29"/>
        <v>39.682539682539684</v>
      </c>
      <c r="D112" s="45">
        <f t="shared" si="29"/>
        <v>38.868274582560289</v>
      </c>
      <c r="E112" s="28">
        <f t="shared" si="30"/>
        <v>117.28634409591031</v>
      </c>
      <c r="F112" s="28">
        <f t="shared" si="31"/>
        <v>39.095448031970101</v>
      </c>
      <c r="G112" s="40" t="s">
        <v>45</v>
      </c>
      <c r="H112" s="28">
        <f>((B103-1)*(B101*B102-1))</f>
        <v>34</v>
      </c>
      <c r="I112" s="28">
        <f>D127</f>
        <v>113.98794293771789</v>
      </c>
      <c r="J112" s="28">
        <f t="shared" si="32"/>
        <v>3.3525865569917026</v>
      </c>
      <c r="O112" s="30">
        <v>4</v>
      </c>
      <c r="P112" s="33">
        <f t="shared" si="34"/>
        <v>38.040256517626851</v>
      </c>
      <c r="Q112" s="31">
        <f t="shared" si="35"/>
        <v>7</v>
      </c>
      <c r="R112" s="37">
        <v>7</v>
      </c>
    </row>
    <row r="113" spans="1:18" x14ac:dyDescent="0.25">
      <c r="A113" s="27" t="s">
        <v>46</v>
      </c>
      <c r="B113" s="45">
        <f t="shared" si="29"/>
        <v>37.863070539419084</v>
      </c>
      <c r="C113" s="45">
        <f t="shared" si="29"/>
        <v>36.690647482014391</v>
      </c>
      <c r="D113" s="45">
        <f t="shared" si="29"/>
        <v>37.179487179487182</v>
      </c>
      <c r="E113" s="28">
        <f t="shared" si="30"/>
        <v>111.73320520092065</v>
      </c>
      <c r="F113" s="28">
        <f t="shared" si="31"/>
        <v>37.244401733640217</v>
      </c>
      <c r="G113" s="39" t="s">
        <v>20</v>
      </c>
      <c r="H113" s="28">
        <f>SUM(H107:H112)-H108</f>
        <v>53</v>
      </c>
      <c r="I113" s="28">
        <f>B126</f>
        <v>199.36138246732298</v>
      </c>
      <c r="K113" s="28" t="s">
        <v>47</v>
      </c>
      <c r="L113" s="16">
        <f>TINV(0.05,34)</f>
        <v>2.0322445093177191</v>
      </c>
      <c r="O113" s="30">
        <v>5</v>
      </c>
      <c r="P113" s="33">
        <f t="shared" si="34"/>
        <v>39.351714102615233</v>
      </c>
      <c r="Q113" s="31">
        <f t="shared" si="35"/>
        <v>3</v>
      </c>
      <c r="R113" s="35">
        <v>3</v>
      </c>
    </row>
    <row r="114" spans="1:18" x14ac:dyDescent="0.25">
      <c r="A114" s="27" t="s">
        <v>48</v>
      </c>
      <c r="B114" s="45">
        <f t="shared" si="29"/>
        <v>42.60450160771704</v>
      </c>
      <c r="C114" s="45">
        <f t="shared" si="29"/>
        <v>31.967213114754095</v>
      </c>
      <c r="D114" s="45">
        <f t="shared" si="29"/>
        <v>36.451612903225808</v>
      </c>
      <c r="E114" s="28">
        <f t="shared" si="30"/>
        <v>111.02332762569695</v>
      </c>
      <c r="F114" s="28">
        <f t="shared" si="31"/>
        <v>37.007775875232319</v>
      </c>
      <c r="G114" s="42" t="s">
        <v>33</v>
      </c>
      <c r="H114" s="28">
        <f>SQRT(J112/3)</f>
        <v>1.0571323721892956</v>
      </c>
      <c r="O114" s="30">
        <v>6</v>
      </c>
      <c r="P114" s="33">
        <f t="shared" si="34"/>
        <v>40.797664270762581</v>
      </c>
      <c r="Q114" s="31">
        <f t="shared" si="35"/>
        <v>1</v>
      </c>
      <c r="R114" s="37">
        <v>1</v>
      </c>
    </row>
    <row r="115" spans="1:18" x14ac:dyDescent="0.25">
      <c r="A115" s="27" t="s">
        <v>49</v>
      </c>
      <c r="B115" s="45">
        <f t="shared" si="29"/>
        <v>38.888888888888893</v>
      </c>
      <c r="C115" s="45">
        <f t="shared" si="29"/>
        <v>36.182902584493043</v>
      </c>
      <c r="D115" s="45">
        <f t="shared" si="29"/>
        <v>37.204724409448822</v>
      </c>
      <c r="E115" s="28">
        <f t="shared" si="30"/>
        <v>112.27651588283075</v>
      </c>
      <c r="F115" s="28">
        <f t="shared" si="31"/>
        <v>37.425505294276917</v>
      </c>
      <c r="G115" s="42" t="s">
        <v>37</v>
      </c>
      <c r="H115" s="28">
        <f>(SQRT((2*J112)/3))*L113</f>
        <v>3.038227770067075</v>
      </c>
      <c r="O115" s="30">
        <v>7</v>
      </c>
      <c r="P115" s="33">
        <f t="shared" si="34"/>
        <v>38.252989697771064</v>
      </c>
      <c r="Q115" s="31">
        <f t="shared" si="35"/>
        <v>6</v>
      </c>
      <c r="R115" s="37">
        <v>6</v>
      </c>
    </row>
    <row r="116" spans="1:18" x14ac:dyDescent="0.25">
      <c r="A116" s="27" t="s">
        <v>50</v>
      </c>
      <c r="B116" s="45">
        <f t="shared" si="29"/>
        <v>40.646258503401363</v>
      </c>
      <c r="C116" s="45">
        <f t="shared" si="29"/>
        <v>42.010771992818675</v>
      </c>
      <c r="D116" s="45">
        <f t="shared" si="29"/>
        <v>38.754325259515568</v>
      </c>
      <c r="E116" s="28">
        <f t="shared" si="30"/>
        <v>121.41135575573561</v>
      </c>
      <c r="F116" s="28">
        <f t="shared" si="31"/>
        <v>40.47045191857854</v>
      </c>
      <c r="G116" s="42" t="s">
        <v>51</v>
      </c>
      <c r="H116" s="28">
        <f>((SQRT(J112))/F123)*100</f>
        <v>4.7118401453381074</v>
      </c>
      <c r="O116" s="30">
        <v>8</v>
      </c>
      <c r="P116" s="33">
        <f t="shared" si="34"/>
        <v>39.227434949037807</v>
      </c>
      <c r="Q116" s="31">
        <f t="shared" si="35"/>
        <v>4</v>
      </c>
      <c r="R116" s="35">
        <v>4</v>
      </c>
    </row>
    <row r="117" spans="1:18" x14ac:dyDescent="0.25">
      <c r="A117" s="27" t="s">
        <v>52</v>
      </c>
      <c r="B117" s="45">
        <f t="shared" si="29"/>
        <v>38.45350052246603</v>
      </c>
      <c r="C117" s="45">
        <f t="shared" si="29"/>
        <v>37.78947368421052</v>
      </c>
      <c r="D117" s="45">
        <f t="shared" si="29"/>
        <v>38.67832847424684</v>
      </c>
      <c r="E117" s="28">
        <f t="shared" si="30"/>
        <v>114.92130268092339</v>
      </c>
      <c r="F117" s="28">
        <f t="shared" si="31"/>
        <v>38.307100893641127</v>
      </c>
      <c r="O117" s="30">
        <v>9</v>
      </c>
      <c r="P117" s="33">
        <f t="shared" si="34"/>
        <v>37.728242907108964</v>
      </c>
      <c r="Q117" s="31">
        <f t="shared" si="35"/>
        <v>8</v>
      </c>
      <c r="R117" s="37">
        <v>8</v>
      </c>
    </row>
    <row r="118" spans="1:18" x14ac:dyDescent="0.25">
      <c r="A118" s="27" t="s">
        <v>53</v>
      </c>
      <c r="B118" s="45">
        <f t="shared" si="29"/>
        <v>36.5</v>
      </c>
      <c r="C118" s="45">
        <f t="shared" si="29"/>
        <v>39.721254355400696</v>
      </c>
      <c r="D118" s="45">
        <f t="shared" si="29"/>
        <v>38.88380603842635</v>
      </c>
      <c r="E118" s="28">
        <f t="shared" si="30"/>
        <v>115.10506039382705</v>
      </c>
      <c r="F118" s="28">
        <f t="shared" si="31"/>
        <v>38.368353464609015</v>
      </c>
      <c r="O118" s="25" t="s">
        <v>33</v>
      </c>
      <c r="P118" s="33">
        <f>SQRT(J112/(3*2))</f>
        <v>0.7475054689868722</v>
      </c>
      <c r="Q118" s="31"/>
    </row>
    <row r="119" spans="1:18" x14ac:dyDescent="0.25">
      <c r="A119" s="27" t="s">
        <v>55</v>
      </c>
      <c r="B119" s="45">
        <f t="shared" si="29"/>
        <v>39.527027027027032</v>
      </c>
      <c r="C119" s="45">
        <f t="shared" si="29"/>
        <v>40.967741935483872</v>
      </c>
      <c r="D119" s="45">
        <f t="shared" si="29"/>
        <v>41.512752858399296</v>
      </c>
      <c r="E119" s="28">
        <f t="shared" si="30"/>
        <v>122.0075218209102</v>
      </c>
      <c r="F119" s="28">
        <f t="shared" si="31"/>
        <v>40.669173940303402</v>
      </c>
      <c r="N119" s="25" t="s">
        <v>41</v>
      </c>
      <c r="O119" s="25" t="s">
        <v>37</v>
      </c>
      <c r="P119" s="33">
        <f>SQRT((2*J112)/(3*2))*L113</f>
        <v>2.1483514590037114</v>
      </c>
      <c r="Q119" s="31"/>
    </row>
    <row r="120" spans="1:18" x14ac:dyDescent="0.25">
      <c r="A120" s="27" t="s">
        <v>56</v>
      </c>
      <c r="B120" s="45">
        <f t="shared" si="29"/>
        <v>38.014042126379138</v>
      </c>
      <c r="C120" s="45">
        <f t="shared" si="29"/>
        <v>37.278106508875744</v>
      </c>
      <c r="D120" s="45">
        <f t="shared" si="29"/>
        <v>38.493723849372387</v>
      </c>
      <c r="E120" s="28">
        <f t="shared" si="30"/>
        <v>113.78587248462726</v>
      </c>
      <c r="F120" s="28">
        <f>E120/3</f>
        <v>37.928624161542423</v>
      </c>
      <c r="Q120" s="31"/>
    </row>
    <row r="121" spans="1:18" x14ac:dyDescent="0.25">
      <c r="A121" s="27" t="s">
        <v>57</v>
      </c>
      <c r="B121" s="45">
        <f t="shared" si="29"/>
        <v>39.670223084384091</v>
      </c>
      <c r="C121" s="45">
        <f t="shared" si="29"/>
        <v>38.919925512104278</v>
      </c>
      <c r="D121" s="45">
        <f t="shared" si="29"/>
        <v>39.488117001828158</v>
      </c>
      <c r="E121" s="28">
        <f t="shared" si="30"/>
        <v>118.07826559831653</v>
      </c>
      <c r="F121" s="28">
        <f t="shared" ref="F121:F122" si="37">E121/3</f>
        <v>39.359421866105514</v>
      </c>
    </row>
    <row r="122" spans="1:18" x14ac:dyDescent="0.25">
      <c r="A122" s="27" t="s">
        <v>58</v>
      </c>
      <c r="B122" s="45">
        <f t="shared" ref="B122:D122" si="38">(B26/B90)*100</f>
        <v>36.786469344608882</v>
      </c>
      <c r="C122" s="45">
        <f t="shared" si="38"/>
        <v>39.125910509885543</v>
      </c>
      <c r="D122" s="45">
        <f t="shared" si="38"/>
        <v>38.723872387238721</v>
      </c>
      <c r="E122" s="28">
        <f t="shared" si="30"/>
        <v>114.63625224173313</v>
      </c>
      <c r="F122" s="28">
        <f t="shared" si="37"/>
        <v>38.212084080577711</v>
      </c>
    </row>
    <row r="123" spans="1:18" x14ac:dyDescent="0.25">
      <c r="A123" s="25" t="s">
        <v>20</v>
      </c>
      <c r="B123" s="28">
        <f>SUM(B105:B122)</f>
        <v>708.20064847514197</v>
      </c>
      <c r="C123" s="28">
        <f t="shared" ref="C123:D123" si="39">SUM(C105:C122)</f>
        <v>697.80911833082018</v>
      </c>
      <c r="D123" s="28">
        <f t="shared" si="39"/>
        <v>692.41407215938489</v>
      </c>
      <c r="E123" s="28">
        <f>SUM(E105:E122)</f>
        <v>2098.4238389653469</v>
      </c>
      <c r="F123" s="28">
        <f>AVERAGE(B105:D122)</f>
        <v>38.859700721580509</v>
      </c>
    </row>
    <row r="124" spans="1:18" x14ac:dyDescent="0.25">
      <c r="A124" s="25" t="s">
        <v>11</v>
      </c>
      <c r="B124" s="28">
        <f>B123/18</f>
        <v>39.344480470841219</v>
      </c>
      <c r="C124" s="28">
        <f>C123/18</f>
        <v>38.767173240601124</v>
      </c>
      <c r="D124" s="28">
        <f>D123/18</f>
        <v>38.467448453299163</v>
      </c>
    </row>
    <row r="125" spans="1:18" x14ac:dyDescent="0.25">
      <c r="A125" s="25" t="s">
        <v>59</v>
      </c>
      <c r="B125" s="28">
        <f>(E123*E123)/54</f>
        <v>81544.122369223405</v>
      </c>
      <c r="C125" s="28"/>
      <c r="D125" s="28"/>
    </row>
    <row r="126" spans="1:18" x14ac:dyDescent="0.25">
      <c r="A126" s="25" t="s">
        <v>60</v>
      </c>
      <c r="B126" s="28">
        <f>SUMSQ(B105:D122)-B125</f>
        <v>199.36138246732298</v>
      </c>
      <c r="C126" s="25" t="s">
        <v>61</v>
      </c>
      <c r="D126" s="28">
        <f>(SUMSQ(B123:D123)/18)-B125</f>
        <v>7.1538224760442972</v>
      </c>
    </row>
    <row r="127" spans="1:18" x14ac:dyDescent="0.25">
      <c r="A127" s="25" t="s">
        <v>62</v>
      </c>
      <c r="B127" s="28">
        <f>(SUMSQ(E105:E122)/3)-B125</f>
        <v>78.219617053560796</v>
      </c>
      <c r="C127" s="25" t="s">
        <v>63</v>
      </c>
      <c r="D127" s="28">
        <f>B126-B127-D126</f>
        <v>113.98794293771789</v>
      </c>
    </row>
    <row r="131" spans="1:18" x14ac:dyDescent="0.25">
      <c r="C131" s="17">
        <v>2020</v>
      </c>
    </row>
    <row r="132" spans="1:18" ht="15.75" x14ac:dyDescent="0.25">
      <c r="C132" s="18" t="s">
        <v>12</v>
      </c>
    </row>
    <row r="134" spans="1:18" x14ac:dyDescent="0.25">
      <c r="A134" s="19" t="s">
        <v>13</v>
      </c>
      <c r="B134" s="20">
        <v>2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2"/>
      <c r="N134" s="22"/>
      <c r="O134" s="21"/>
      <c r="P134" s="21"/>
    </row>
    <row r="135" spans="1:18" x14ac:dyDescent="0.25">
      <c r="A135" s="19" t="s">
        <v>14</v>
      </c>
      <c r="B135" s="20">
        <v>9</v>
      </c>
      <c r="C135" s="21" t="s">
        <v>15</v>
      </c>
      <c r="D135" s="21">
        <v>18</v>
      </c>
      <c r="E135" s="21"/>
      <c r="F135" s="21"/>
      <c r="G135" s="21"/>
      <c r="H135" s="21"/>
      <c r="I135" s="21"/>
      <c r="J135" s="21"/>
      <c r="K135" s="21"/>
      <c r="L135" s="21"/>
      <c r="M135" s="22"/>
      <c r="N135" s="22"/>
      <c r="O135" s="21"/>
      <c r="P135" s="21"/>
    </row>
    <row r="136" spans="1:18" x14ac:dyDescent="0.25">
      <c r="A136" s="15" t="s">
        <v>16</v>
      </c>
      <c r="B136" s="23">
        <v>3</v>
      </c>
    </row>
    <row r="137" spans="1:18" x14ac:dyDescent="0.25">
      <c r="A137" s="24" t="s">
        <v>0</v>
      </c>
      <c r="B137" s="25" t="s">
        <v>17</v>
      </c>
      <c r="C137" s="25" t="s">
        <v>18</v>
      </c>
      <c r="D137" s="25" t="s">
        <v>19</v>
      </c>
      <c r="E137" s="25" t="s">
        <v>20</v>
      </c>
      <c r="F137" s="25" t="s">
        <v>11</v>
      </c>
      <c r="O137" s="16" t="s">
        <v>21</v>
      </c>
    </row>
    <row r="138" spans="1:18" x14ac:dyDescent="0.25">
      <c r="A138" s="27" t="s">
        <v>22</v>
      </c>
      <c r="B138" s="7">
        <v>26.5</v>
      </c>
      <c r="C138" s="7">
        <v>21.8</v>
      </c>
      <c r="D138" s="7">
        <v>23.56</v>
      </c>
      <c r="E138" s="28">
        <f t="shared" ref="E138:E155" si="40">SUM(B138:D138)</f>
        <v>71.86</v>
      </c>
      <c r="F138" s="28">
        <f>E138/3</f>
        <v>23.953333333333333</v>
      </c>
      <c r="H138" s="29"/>
      <c r="I138" s="29"/>
      <c r="J138" s="29" t="s">
        <v>23</v>
      </c>
      <c r="K138" s="29"/>
      <c r="L138" s="29"/>
      <c r="M138" s="29"/>
      <c r="N138" s="29"/>
      <c r="O138" s="30">
        <v>1</v>
      </c>
      <c r="P138" s="28">
        <f>SUM(F138:F146)/9</f>
        <v>41.285925925925923</v>
      </c>
      <c r="Q138" s="31">
        <f>RANK(P138,P$138:P$139,0)</f>
        <v>1</v>
      </c>
      <c r="R138" s="17">
        <v>1</v>
      </c>
    </row>
    <row r="139" spans="1:18" x14ac:dyDescent="0.25">
      <c r="A139" s="27" t="s">
        <v>24</v>
      </c>
      <c r="B139" s="7">
        <v>39.56</v>
      </c>
      <c r="C139" s="7">
        <v>43.6</v>
      </c>
      <c r="D139" s="7">
        <v>44.5</v>
      </c>
      <c r="E139" s="28">
        <f t="shared" si="40"/>
        <v>127.66</v>
      </c>
      <c r="F139" s="28">
        <f t="shared" ref="F139:F152" si="41">E139/3</f>
        <v>42.553333333333335</v>
      </c>
      <c r="G139" s="28"/>
      <c r="H139" s="25" t="s">
        <v>25</v>
      </c>
      <c r="I139" s="25" t="s">
        <v>26</v>
      </c>
      <c r="J139" s="25" t="s">
        <v>27</v>
      </c>
      <c r="K139" s="25" t="s">
        <v>28</v>
      </c>
      <c r="L139" s="25" t="s">
        <v>29</v>
      </c>
      <c r="M139" s="25" t="s">
        <v>30</v>
      </c>
      <c r="N139" s="32"/>
      <c r="O139" s="30">
        <v>2</v>
      </c>
      <c r="P139" s="28">
        <f>SUM(F147:F155)/9</f>
        <v>39.68333333333333</v>
      </c>
      <c r="Q139" s="31">
        <f>RANK(P139,P$138:P$139,0)</f>
        <v>2</v>
      </c>
      <c r="R139" s="17">
        <v>2</v>
      </c>
    </row>
    <row r="140" spans="1:18" x14ac:dyDescent="0.25">
      <c r="A140" s="27" t="s">
        <v>31</v>
      </c>
      <c r="B140" s="7">
        <v>49.5</v>
      </c>
      <c r="C140" s="7">
        <v>48.6</v>
      </c>
      <c r="D140" s="7">
        <v>46.5</v>
      </c>
      <c r="E140" s="28">
        <f t="shared" si="40"/>
        <v>144.6</v>
      </c>
      <c r="F140" s="28">
        <f t="shared" si="41"/>
        <v>48.199999999999996</v>
      </c>
      <c r="G140" s="28" t="s">
        <v>32</v>
      </c>
      <c r="H140" s="28">
        <f>B136-1</f>
        <v>2</v>
      </c>
      <c r="I140" s="28">
        <f>D159</f>
        <v>4.7657814814738231</v>
      </c>
      <c r="J140" s="28">
        <f>I140/H140</f>
        <v>2.3828907407369115</v>
      </c>
      <c r="K140" s="28">
        <f>J140/$J$16</f>
        <v>0.45183398652287321</v>
      </c>
      <c r="L140" s="28">
        <f>FINV(0.05,H140,$H$16)</f>
        <v>3.275897990672394</v>
      </c>
      <c r="M140" s="28" t="str">
        <f>IF(K140&gt;=L140, "S", "NS")</f>
        <v>NS</v>
      </c>
      <c r="N140" s="21"/>
      <c r="O140" s="25" t="s">
        <v>33</v>
      </c>
      <c r="P140" s="33">
        <f>SQRT(J145/(3*9))</f>
        <v>0.49075477844025528</v>
      </c>
    </row>
    <row r="141" spans="1:18" x14ac:dyDescent="0.25">
      <c r="A141" s="27" t="s">
        <v>34</v>
      </c>
      <c r="B141" s="7">
        <v>39.6</v>
      </c>
      <c r="C141" s="7">
        <v>38.9</v>
      </c>
      <c r="D141" s="7">
        <v>36.799999999999997</v>
      </c>
      <c r="E141" s="28">
        <f t="shared" si="40"/>
        <v>115.3</v>
      </c>
      <c r="F141" s="28">
        <f t="shared" si="41"/>
        <v>38.43333333333333</v>
      </c>
      <c r="G141" s="28" t="s">
        <v>35</v>
      </c>
      <c r="H141" s="28">
        <f>D135-1</f>
        <v>17</v>
      </c>
      <c r="I141" s="28">
        <f>B160</f>
        <v>2997.0398092592368</v>
      </c>
      <c r="J141" s="28">
        <f t="shared" ref="J141:J145" si="42">I141/H141</f>
        <v>176.2964593681904</v>
      </c>
      <c r="K141" s="28">
        <f>J141/$J$16</f>
        <v>33.42861285430287</v>
      </c>
      <c r="L141" s="28">
        <f>FINV(0.05,H141,$H$16)</f>
        <v>1.9332068318040869</v>
      </c>
      <c r="M141" s="34" t="str">
        <f t="shared" ref="M141" si="43">IF(K141&gt;=L141, "S", "NS")</f>
        <v>S</v>
      </c>
      <c r="N141" s="25" t="s">
        <v>36</v>
      </c>
      <c r="O141" s="25" t="s">
        <v>37</v>
      </c>
      <c r="P141" s="33">
        <f>SQRT((2*J145)/(3*9))*L146</f>
        <v>1.4104428502765662</v>
      </c>
    </row>
    <row r="142" spans="1:18" x14ac:dyDescent="0.25">
      <c r="A142" s="27" t="s">
        <v>38</v>
      </c>
      <c r="B142" s="7">
        <v>46.5</v>
      </c>
      <c r="C142" s="7">
        <v>48.9</v>
      </c>
      <c r="D142" s="7">
        <v>45.6</v>
      </c>
      <c r="E142" s="28">
        <f t="shared" si="40"/>
        <v>141</v>
      </c>
      <c r="F142" s="28">
        <f t="shared" si="41"/>
        <v>47</v>
      </c>
      <c r="G142" s="28" t="s">
        <v>39</v>
      </c>
      <c r="H142" s="28">
        <f>B134-1</f>
        <v>1</v>
      </c>
      <c r="I142" s="28">
        <f>(SUM(E138:E146)^2+SUM(E147:E155)^2)/27-B158</f>
        <v>34.672090740728891</v>
      </c>
      <c r="J142" s="28">
        <f t="shared" si="42"/>
        <v>34.672090740728891</v>
      </c>
      <c r="K142" s="28">
        <f>J142/$J$16</f>
        <v>6.5743798960843662</v>
      </c>
      <c r="L142" s="28">
        <f>FINV(0.05,H142,$H$16)</f>
        <v>4.1300177456520188</v>
      </c>
      <c r="M142" s="28" t="str">
        <f>IF(K142&gt;=L142, "S", "NS")</f>
        <v>S</v>
      </c>
      <c r="N142" s="21"/>
      <c r="O142" s="30">
        <v>1</v>
      </c>
      <c r="P142" s="28">
        <f>(F138+F147)/2</f>
        <v>23.509999999999998</v>
      </c>
      <c r="Q142" s="31">
        <f>RANK(P142,P$142:P$150,0)</f>
        <v>9</v>
      </c>
      <c r="R142" s="35">
        <v>9</v>
      </c>
    </row>
    <row r="143" spans="1:18" x14ac:dyDescent="0.25">
      <c r="A143" s="27" t="s">
        <v>40</v>
      </c>
      <c r="B143" s="7">
        <v>52.6</v>
      </c>
      <c r="C143" s="7">
        <v>50.8</v>
      </c>
      <c r="D143" s="7">
        <v>48.9</v>
      </c>
      <c r="E143" s="28">
        <f t="shared" si="40"/>
        <v>152.30000000000001</v>
      </c>
      <c r="F143" s="28">
        <f t="shared" si="41"/>
        <v>50.766666666666673</v>
      </c>
      <c r="G143" s="28" t="s">
        <v>41</v>
      </c>
      <c r="H143" s="28">
        <f>B135-1</f>
        <v>8</v>
      </c>
      <c r="I143" s="28">
        <f>((E138+E147)^2+(E139+E148)^2+(E140+E149)^2+(E141+E150)^2+(E142+E151)^2+(E143+E152)^2+(E144+E153)^2+(E145+E154)^2+(E146+E155)^2/6)-B158</f>
        <v>419983.56860925927</v>
      </c>
      <c r="J143" s="28">
        <f t="shared" si="42"/>
        <v>52497.946076157408</v>
      </c>
      <c r="K143" s="28">
        <f>J143/$J$16</f>
        <v>9954.4456043828031</v>
      </c>
      <c r="L143" s="28">
        <f>FINV(0.05,H143,$H$16)</f>
        <v>2.2253399674380931</v>
      </c>
      <c r="M143" s="28" t="str">
        <f>IF(K143&gt;=L143, "S", "NS")</f>
        <v>S</v>
      </c>
      <c r="N143" s="21"/>
      <c r="O143" s="30">
        <v>2</v>
      </c>
      <c r="P143" s="28">
        <f t="shared" ref="P143:P150" si="44">(F139+F148)/2</f>
        <v>40.343333333333334</v>
      </c>
      <c r="Q143" s="31">
        <f t="shared" ref="Q143:Q150" si="45">RANK(P143,P$142:P$150,0)</f>
        <v>5</v>
      </c>
      <c r="R143" s="37">
        <v>5</v>
      </c>
    </row>
    <row r="144" spans="1:18" x14ac:dyDescent="0.25">
      <c r="A144" s="27" t="s">
        <v>42</v>
      </c>
      <c r="B144" s="7">
        <v>39.799999999999997</v>
      </c>
      <c r="C144" s="7">
        <v>39.4</v>
      </c>
      <c r="D144" s="7">
        <v>40.799999999999997</v>
      </c>
      <c r="E144" s="28">
        <f t="shared" si="40"/>
        <v>119.99999999999999</v>
      </c>
      <c r="F144" s="28">
        <f t="shared" si="41"/>
        <v>39.999999999999993</v>
      </c>
      <c r="G144" s="38" t="s">
        <v>43</v>
      </c>
      <c r="H144" s="28">
        <f>H142*H143</f>
        <v>8</v>
      </c>
      <c r="I144" s="28">
        <f>I141-(I142+I143)</f>
        <v>-417021.20089074073</v>
      </c>
      <c r="J144" s="28">
        <f t="shared" si="42"/>
        <v>-52127.650111342591</v>
      </c>
      <c r="K144" s="39">
        <f>J144/$J$16</f>
        <v>-9884.2315995544195</v>
      </c>
      <c r="L144" s="28">
        <f>FINV(0.05,H144,$H$16)</f>
        <v>2.2253399674380931</v>
      </c>
      <c r="M144" s="28" t="str">
        <f t="shared" ref="M144" si="46">IF(K144&gt;=L144, "S", "NS")</f>
        <v>NS</v>
      </c>
      <c r="N144" s="21"/>
      <c r="O144" s="30">
        <v>3</v>
      </c>
      <c r="P144" s="28">
        <f t="shared" si="44"/>
        <v>47.924999999999997</v>
      </c>
      <c r="Q144" s="31">
        <f t="shared" si="45"/>
        <v>2</v>
      </c>
      <c r="R144" s="37">
        <v>2</v>
      </c>
    </row>
    <row r="145" spans="1:18" x14ac:dyDescent="0.25">
      <c r="A145" s="27" t="s">
        <v>44</v>
      </c>
      <c r="B145" s="7">
        <v>44.6</v>
      </c>
      <c r="C145" s="7">
        <v>43.8</v>
      </c>
      <c r="D145" s="7">
        <v>42.8</v>
      </c>
      <c r="E145" s="28">
        <f t="shared" si="40"/>
        <v>131.19999999999999</v>
      </c>
      <c r="F145" s="28">
        <f t="shared" si="41"/>
        <v>43.733333333333327</v>
      </c>
      <c r="G145" s="40" t="s">
        <v>45</v>
      </c>
      <c r="H145" s="28">
        <f>((B136-1)*(B134*B135-1))</f>
        <v>34</v>
      </c>
      <c r="I145" s="28">
        <f>D160</f>
        <v>221.0913518518646</v>
      </c>
      <c r="J145" s="28">
        <f t="shared" si="42"/>
        <v>6.5026868191724887</v>
      </c>
      <c r="O145" s="30">
        <v>4</v>
      </c>
      <c r="P145" s="28">
        <f t="shared" si="44"/>
        <v>37.816666666666663</v>
      </c>
      <c r="Q145" s="31">
        <f t="shared" si="45"/>
        <v>7</v>
      </c>
      <c r="R145" s="37">
        <v>7</v>
      </c>
    </row>
    <row r="146" spans="1:18" x14ac:dyDescent="0.25">
      <c r="A146" s="27" t="s">
        <v>46</v>
      </c>
      <c r="B146" s="7">
        <v>39.5</v>
      </c>
      <c r="C146" s="7">
        <v>36.799999999999997</v>
      </c>
      <c r="D146" s="7">
        <v>34.5</v>
      </c>
      <c r="E146" s="28">
        <f t="shared" si="40"/>
        <v>110.8</v>
      </c>
      <c r="F146" s="28">
        <f t="shared" si="41"/>
        <v>36.93333333333333</v>
      </c>
      <c r="G146" s="39" t="s">
        <v>20</v>
      </c>
      <c r="H146" s="28">
        <f>SUM(H140:H145)-H141</f>
        <v>53</v>
      </c>
      <c r="I146" s="28">
        <f>B159</f>
        <v>3222.8969425925752</v>
      </c>
      <c r="K146" s="28" t="s">
        <v>47</v>
      </c>
      <c r="L146" s="16">
        <f>TINV(0.05,34)</f>
        <v>2.0322445093177191</v>
      </c>
      <c r="O146" s="30">
        <v>5</v>
      </c>
      <c r="P146" s="28">
        <f t="shared" si="44"/>
        <v>44.916666666666671</v>
      </c>
      <c r="Q146" s="31">
        <f t="shared" si="45"/>
        <v>3</v>
      </c>
      <c r="R146" s="35">
        <v>3</v>
      </c>
    </row>
    <row r="147" spans="1:18" x14ac:dyDescent="0.25">
      <c r="A147" s="27" t="s">
        <v>48</v>
      </c>
      <c r="B147" s="7">
        <v>20.100000000000001</v>
      </c>
      <c r="C147" s="7">
        <v>22.6</v>
      </c>
      <c r="D147" s="7">
        <v>26.5</v>
      </c>
      <c r="E147" s="28">
        <f t="shared" si="40"/>
        <v>69.2</v>
      </c>
      <c r="F147" s="28">
        <f t="shared" si="41"/>
        <v>23.066666666666666</v>
      </c>
      <c r="G147" s="42" t="s">
        <v>33</v>
      </c>
      <c r="H147" s="28">
        <f>SQRT(J145/3)</f>
        <v>1.4722643353207658</v>
      </c>
      <c r="O147" s="30">
        <v>6</v>
      </c>
      <c r="P147" s="28">
        <f t="shared" si="44"/>
        <v>50.183333333333337</v>
      </c>
      <c r="Q147" s="31">
        <f t="shared" si="45"/>
        <v>1</v>
      </c>
      <c r="R147" s="37">
        <v>1</v>
      </c>
    </row>
    <row r="148" spans="1:18" x14ac:dyDescent="0.25">
      <c r="A148" s="27" t="s">
        <v>49</v>
      </c>
      <c r="B148" s="7">
        <v>39.799999999999997</v>
      </c>
      <c r="C148" s="7">
        <v>35.1</v>
      </c>
      <c r="D148" s="7">
        <v>39.5</v>
      </c>
      <c r="E148" s="28">
        <f t="shared" si="40"/>
        <v>114.4</v>
      </c>
      <c r="F148" s="28">
        <f t="shared" si="41"/>
        <v>38.133333333333333</v>
      </c>
      <c r="G148" s="42" t="s">
        <v>37</v>
      </c>
      <c r="H148" s="28">
        <f>(SQRT((2*J145)/3))*L146</f>
        <v>4.2313285508296996</v>
      </c>
      <c r="O148" s="30">
        <v>7</v>
      </c>
      <c r="P148" s="28">
        <f t="shared" si="44"/>
        <v>39.65</v>
      </c>
      <c r="Q148" s="31">
        <f t="shared" si="45"/>
        <v>6</v>
      </c>
      <c r="R148" s="37">
        <v>6</v>
      </c>
    </row>
    <row r="149" spans="1:18" x14ac:dyDescent="0.25">
      <c r="A149" s="27" t="s">
        <v>50</v>
      </c>
      <c r="B149" s="7">
        <v>48.95</v>
      </c>
      <c r="C149" s="7">
        <v>49.5</v>
      </c>
      <c r="D149" s="7">
        <v>44.5</v>
      </c>
      <c r="E149" s="28">
        <f t="shared" si="40"/>
        <v>142.94999999999999</v>
      </c>
      <c r="F149" s="28">
        <f t="shared" si="41"/>
        <v>47.65</v>
      </c>
      <c r="G149" s="42" t="s">
        <v>51</v>
      </c>
      <c r="H149" s="28">
        <f>((SQRT(J145))/F156)*100</f>
        <v>6.2987772255198928</v>
      </c>
      <c r="O149" s="30">
        <v>8</v>
      </c>
      <c r="P149" s="28">
        <f t="shared" si="44"/>
        <v>43.433333333333323</v>
      </c>
      <c r="Q149" s="31">
        <f t="shared" si="45"/>
        <v>4</v>
      </c>
      <c r="R149" s="35">
        <v>4</v>
      </c>
    </row>
    <row r="150" spans="1:18" x14ac:dyDescent="0.25">
      <c r="A150" s="27" t="s">
        <v>52</v>
      </c>
      <c r="B150" s="7">
        <v>38.4</v>
      </c>
      <c r="C150" s="7">
        <v>37.799999999999997</v>
      </c>
      <c r="D150" s="7">
        <v>35.4</v>
      </c>
      <c r="E150" s="28">
        <f t="shared" si="40"/>
        <v>111.6</v>
      </c>
      <c r="F150" s="28">
        <f t="shared" si="41"/>
        <v>37.199999999999996</v>
      </c>
      <c r="O150" s="30">
        <v>9</v>
      </c>
      <c r="P150" s="28">
        <f t="shared" si="44"/>
        <v>36.583333333333329</v>
      </c>
      <c r="Q150" s="31">
        <f t="shared" si="45"/>
        <v>8</v>
      </c>
      <c r="R150" s="37">
        <v>8</v>
      </c>
    </row>
    <row r="151" spans="1:18" x14ac:dyDescent="0.25">
      <c r="A151" s="27" t="s">
        <v>53</v>
      </c>
      <c r="B151" s="7">
        <v>37.5</v>
      </c>
      <c r="C151" s="7">
        <v>47.5</v>
      </c>
      <c r="D151" s="7">
        <v>43.5</v>
      </c>
      <c r="E151" s="28">
        <f t="shared" si="40"/>
        <v>128.5</v>
      </c>
      <c r="F151" s="28">
        <f t="shared" si="41"/>
        <v>42.833333333333336</v>
      </c>
      <c r="O151" s="25" t="s">
        <v>33</v>
      </c>
      <c r="P151" s="33">
        <f>SQRT(J145/(3*2))</f>
        <v>1.0410480952044185</v>
      </c>
      <c r="Q151" s="31"/>
    </row>
    <row r="152" spans="1:18" x14ac:dyDescent="0.25">
      <c r="A152" s="27" t="s">
        <v>55</v>
      </c>
      <c r="B152" s="7">
        <v>47.5</v>
      </c>
      <c r="C152" s="7">
        <v>53.5</v>
      </c>
      <c r="D152" s="7">
        <v>47.8</v>
      </c>
      <c r="E152" s="28">
        <f t="shared" si="40"/>
        <v>148.80000000000001</v>
      </c>
      <c r="F152" s="28">
        <f t="shared" si="41"/>
        <v>49.6</v>
      </c>
      <c r="N152" s="25" t="s">
        <v>41</v>
      </c>
      <c r="O152" s="25" t="s">
        <v>37</v>
      </c>
      <c r="P152" s="33">
        <f>SQRT((2*J145)/(3*2))*L146</f>
        <v>2.9920011117199277</v>
      </c>
      <c r="Q152" s="31"/>
    </row>
    <row r="153" spans="1:18" x14ac:dyDescent="0.25">
      <c r="A153" s="27" t="s">
        <v>56</v>
      </c>
      <c r="B153" s="7">
        <v>40.5</v>
      </c>
      <c r="C153" s="7">
        <v>35.799999999999997</v>
      </c>
      <c r="D153" s="7">
        <v>41.6</v>
      </c>
      <c r="E153" s="28">
        <f t="shared" si="40"/>
        <v>117.9</v>
      </c>
      <c r="F153" s="28">
        <f>E153/3</f>
        <v>39.300000000000004</v>
      </c>
      <c r="Q153" s="31"/>
    </row>
    <row r="154" spans="1:18" x14ac:dyDescent="0.25">
      <c r="A154" s="27" t="s">
        <v>57</v>
      </c>
      <c r="B154" s="7">
        <v>41.5</v>
      </c>
      <c r="C154" s="7">
        <v>42.6</v>
      </c>
      <c r="D154" s="7">
        <v>45.3</v>
      </c>
      <c r="E154" s="28">
        <f t="shared" si="40"/>
        <v>129.39999999999998</v>
      </c>
      <c r="F154" s="28">
        <f t="shared" ref="F154:F155" si="47">E154/3</f>
        <v>43.133333333333326</v>
      </c>
    </row>
    <row r="155" spans="1:18" x14ac:dyDescent="0.25">
      <c r="A155" s="27" t="s">
        <v>58</v>
      </c>
      <c r="B155" s="7">
        <v>35.6</v>
      </c>
      <c r="C155" s="7">
        <v>38.6</v>
      </c>
      <c r="D155" s="7">
        <v>34.5</v>
      </c>
      <c r="E155" s="28">
        <f t="shared" si="40"/>
        <v>108.7</v>
      </c>
      <c r="F155" s="28">
        <f t="shared" si="47"/>
        <v>36.233333333333334</v>
      </c>
    </row>
    <row r="156" spans="1:18" x14ac:dyDescent="0.25">
      <c r="A156" s="25" t="s">
        <v>20</v>
      </c>
      <c r="B156" s="28">
        <f>SUM(B138:B155)</f>
        <v>728.0100000000001</v>
      </c>
      <c r="C156" s="28">
        <f>SUM(C138:C155)</f>
        <v>735.6</v>
      </c>
      <c r="D156" s="28">
        <f>SUM(D138:D155)</f>
        <v>722.56</v>
      </c>
      <c r="E156" s="28">
        <f>SUM(E138:E155)</f>
        <v>2186.17</v>
      </c>
      <c r="F156" s="28">
        <f>AVERAGE(B138:D155)</f>
        <v>40.484629629629616</v>
      </c>
    </row>
    <row r="157" spans="1:18" x14ac:dyDescent="0.25">
      <c r="A157" s="25" t="s">
        <v>11</v>
      </c>
      <c r="B157" s="28">
        <f>B156/18</f>
        <v>40.445000000000007</v>
      </c>
      <c r="C157" s="28">
        <f>C156/18</f>
        <v>40.866666666666667</v>
      </c>
      <c r="D157" s="28">
        <f>D156/18</f>
        <v>40.142222222222216</v>
      </c>
    </row>
    <row r="158" spans="1:18" x14ac:dyDescent="0.25">
      <c r="A158" s="25" t="s">
        <v>59</v>
      </c>
      <c r="B158" s="28">
        <f>(E156*E156)/54</f>
        <v>88506.282757407418</v>
      </c>
      <c r="C158" s="28"/>
      <c r="D158" s="28"/>
    </row>
    <row r="159" spans="1:18" x14ac:dyDescent="0.25">
      <c r="A159" s="25" t="s">
        <v>60</v>
      </c>
      <c r="B159" s="28">
        <f>SUMSQ(B138:D155)-B158</f>
        <v>3222.8969425925752</v>
      </c>
      <c r="C159" s="25" t="s">
        <v>61</v>
      </c>
      <c r="D159" s="28">
        <f>(SUMSQ(B156:D156)/18)-B158</f>
        <v>4.7657814814738231</v>
      </c>
    </row>
    <row r="160" spans="1:18" x14ac:dyDescent="0.25">
      <c r="A160" s="25" t="s">
        <v>62</v>
      </c>
      <c r="B160" s="28">
        <f>(SUMSQ(E138:E155)/3)-B158</f>
        <v>2997.0398092592368</v>
      </c>
      <c r="C160" s="25" t="s">
        <v>63</v>
      </c>
      <c r="D160" s="28">
        <f>B159-B160-D159</f>
        <v>221.0913518518646</v>
      </c>
    </row>
    <row r="164" spans="1:18" ht="15.75" x14ac:dyDescent="0.25">
      <c r="C164" s="18" t="s">
        <v>64</v>
      </c>
    </row>
    <row r="166" spans="1:18" x14ac:dyDescent="0.25">
      <c r="A166" s="19" t="s">
        <v>13</v>
      </c>
      <c r="B166" s="20">
        <v>2</v>
      </c>
      <c r="C166" s="21"/>
      <c r="D166" s="21"/>
      <c r="E166" s="21"/>
      <c r="F166" s="21"/>
      <c r="G166" s="21"/>
      <c r="H166" s="21"/>
      <c r="I166" s="21"/>
      <c r="M166" s="22"/>
      <c r="N166" s="22"/>
      <c r="O166" s="21"/>
      <c r="P166" s="21"/>
    </row>
    <row r="167" spans="1:18" x14ac:dyDescent="0.25">
      <c r="A167" s="19" t="s">
        <v>14</v>
      </c>
      <c r="B167" s="20">
        <v>9</v>
      </c>
      <c r="C167" s="21" t="s">
        <v>15</v>
      </c>
      <c r="D167" s="21">
        <v>18</v>
      </c>
      <c r="E167" s="21"/>
      <c r="F167" s="21"/>
      <c r="G167" s="21"/>
      <c r="H167" s="21"/>
      <c r="I167" s="21"/>
      <c r="M167" s="22"/>
      <c r="N167" s="22"/>
      <c r="O167" s="21"/>
      <c r="P167" s="21"/>
    </row>
    <row r="168" spans="1:18" x14ac:dyDescent="0.25">
      <c r="A168" s="15" t="s">
        <v>16</v>
      </c>
      <c r="B168" s="23">
        <v>3</v>
      </c>
    </row>
    <row r="169" spans="1:18" x14ac:dyDescent="0.25">
      <c r="A169" s="24" t="s">
        <v>0</v>
      </c>
      <c r="B169" s="25" t="s">
        <v>17</v>
      </c>
      <c r="C169" s="25" t="s">
        <v>18</v>
      </c>
      <c r="D169" s="25" t="s">
        <v>19</v>
      </c>
      <c r="E169" s="25" t="s">
        <v>20</v>
      </c>
      <c r="F169" s="25" t="s">
        <v>11</v>
      </c>
      <c r="O169" s="16" t="s">
        <v>21</v>
      </c>
      <c r="R169" s="16"/>
    </row>
    <row r="170" spans="1:18" x14ac:dyDescent="0.25">
      <c r="A170" s="27" t="s">
        <v>22</v>
      </c>
      <c r="B170" s="8">
        <v>39.200000000000003</v>
      </c>
      <c r="C170" s="8">
        <v>38.5</v>
      </c>
      <c r="D170" s="8">
        <v>42.2</v>
      </c>
      <c r="E170" s="28">
        <f>SUM(B170:D170)</f>
        <v>119.9</v>
      </c>
      <c r="F170" s="28">
        <f>E170/3</f>
        <v>39.966666666666669</v>
      </c>
      <c r="H170" s="29"/>
      <c r="I170" s="29"/>
      <c r="J170" s="29" t="s">
        <v>23</v>
      </c>
      <c r="K170" s="29"/>
      <c r="L170" s="29"/>
      <c r="M170" s="29"/>
      <c r="N170" s="29"/>
      <c r="O170" s="30">
        <v>1</v>
      </c>
      <c r="P170" s="28">
        <f>SUM(F170:F178)/9</f>
        <v>63.792592592592605</v>
      </c>
      <c r="Q170" s="31">
        <f>RANK(P170,P$170:P$171,0)</f>
        <v>1</v>
      </c>
      <c r="R170" s="17">
        <v>1</v>
      </c>
    </row>
    <row r="171" spans="1:18" x14ac:dyDescent="0.25">
      <c r="A171" s="27" t="s">
        <v>24</v>
      </c>
      <c r="B171" s="6">
        <v>65.5</v>
      </c>
      <c r="C171" s="6">
        <v>64.099999999999994</v>
      </c>
      <c r="D171" s="6">
        <v>66.5</v>
      </c>
      <c r="E171" s="28">
        <f t="shared" ref="E171:E187" si="48">SUM(B171:D171)</f>
        <v>196.1</v>
      </c>
      <c r="F171" s="28">
        <f t="shared" ref="F171:F184" si="49">E171/3</f>
        <v>65.36666666666666</v>
      </c>
      <c r="G171" s="28"/>
      <c r="H171" s="25" t="s">
        <v>25</v>
      </c>
      <c r="I171" s="25" t="s">
        <v>26</v>
      </c>
      <c r="J171" s="25" t="s">
        <v>27</v>
      </c>
      <c r="K171" s="25" t="s">
        <v>28</v>
      </c>
      <c r="L171" s="25" t="s">
        <v>29</v>
      </c>
      <c r="M171" s="25" t="s">
        <v>30</v>
      </c>
      <c r="N171" s="32"/>
      <c r="O171" s="30">
        <v>2</v>
      </c>
      <c r="P171" s="28">
        <f>SUM(F179:F187)/9</f>
        <v>62.096296296296295</v>
      </c>
      <c r="Q171" s="31">
        <f>RANK(P171,P$170:P$171,0)</f>
        <v>2</v>
      </c>
      <c r="R171" s="17">
        <v>2</v>
      </c>
    </row>
    <row r="172" spans="1:18" x14ac:dyDescent="0.25">
      <c r="A172" s="27" t="s">
        <v>31</v>
      </c>
      <c r="B172" s="6">
        <v>69.2</v>
      </c>
      <c r="C172" s="6">
        <v>71.8</v>
      </c>
      <c r="D172" s="6">
        <v>73.8</v>
      </c>
      <c r="E172" s="28">
        <f t="shared" si="48"/>
        <v>214.8</v>
      </c>
      <c r="F172" s="28">
        <f t="shared" si="49"/>
        <v>71.600000000000009</v>
      </c>
      <c r="G172" s="28" t="s">
        <v>32</v>
      </c>
      <c r="H172" s="28">
        <f>B168-1</f>
        <v>2</v>
      </c>
      <c r="I172" s="28">
        <f>D191</f>
        <v>1.7733333333453629</v>
      </c>
      <c r="J172" s="28">
        <f>I172/H172</f>
        <v>0.88666666667268146</v>
      </c>
      <c r="K172" s="28">
        <f>J172/$J$16</f>
        <v>0.16812610325380309</v>
      </c>
      <c r="L172" s="28">
        <f>FINV(0.05,H172,$H$16)</f>
        <v>3.275897990672394</v>
      </c>
      <c r="M172" s="28" t="str">
        <f>IF(K172&gt;=L172, "S", "NS")</f>
        <v>NS</v>
      </c>
      <c r="N172" s="21"/>
      <c r="O172" s="25" t="s">
        <v>33</v>
      </c>
      <c r="P172" s="33">
        <f>SQRT(J177/(3*9))</f>
        <v>0.64631798878635127</v>
      </c>
      <c r="R172" s="16"/>
    </row>
    <row r="173" spans="1:18" x14ac:dyDescent="0.25">
      <c r="A173" s="27" t="s">
        <v>34</v>
      </c>
      <c r="B173" s="6">
        <v>61.900000000000006</v>
      </c>
      <c r="C173" s="6">
        <v>60.900000000000006</v>
      </c>
      <c r="D173" s="6">
        <v>63.900000000000006</v>
      </c>
      <c r="E173" s="28">
        <f t="shared" si="48"/>
        <v>186.70000000000002</v>
      </c>
      <c r="F173" s="28">
        <f t="shared" si="49"/>
        <v>62.233333333333341</v>
      </c>
      <c r="G173" s="28" t="s">
        <v>35</v>
      </c>
      <c r="H173" s="28">
        <f>D167-1</f>
        <v>17</v>
      </c>
      <c r="I173" s="28">
        <f>B192</f>
        <v>4759.5266666667012</v>
      </c>
      <c r="J173" s="28">
        <f t="shared" ref="J173:J177" si="50">I173/H173</f>
        <v>279.97215686274711</v>
      </c>
      <c r="K173" s="28">
        <f>J173/$J$16</f>
        <v>53.087174157041574</v>
      </c>
      <c r="L173" s="28">
        <f>FINV(0.05,H173,$H$16)</f>
        <v>1.9332068318040869</v>
      </c>
      <c r="M173" s="34" t="str">
        <f t="shared" ref="M173" si="51">IF(K173&gt;=L173, "S", "NS")</f>
        <v>S</v>
      </c>
      <c r="N173" s="25" t="s">
        <v>36</v>
      </c>
      <c r="O173" s="25" t="s">
        <v>37</v>
      </c>
      <c r="P173" s="33">
        <f>SQRT((2*J177)/(3*9))*L178</f>
        <v>1.8575358332447029</v>
      </c>
      <c r="R173" s="16"/>
    </row>
    <row r="174" spans="1:18" x14ac:dyDescent="0.25">
      <c r="A174" s="27" t="s">
        <v>38</v>
      </c>
      <c r="B174" s="6">
        <v>70.2</v>
      </c>
      <c r="C174" s="6">
        <v>68.900000000000006</v>
      </c>
      <c r="D174" s="6">
        <v>67.8</v>
      </c>
      <c r="E174" s="28">
        <f t="shared" si="48"/>
        <v>206.90000000000003</v>
      </c>
      <c r="F174" s="28">
        <f t="shared" si="49"/>
        <v>68.966666666666683</v>
      </c>
      <c r="G174" s="28" t="s">
        <v>39</v>
      </c>
      <c r="H174" s="28">
        <f>B166-1</f>
        <v>1</v>
      </c>
      <c r="I174" s="28">
        <f>(SUM(E170:E178)^2+SUM(E179:E187)^2)/27-B190</f>
        <v>38.845185185200535</v>
      </c>
      <c r="J174" s="28">
        <f t="shared" si="50"/>
        <v>38.845185185200535</v>
      </c>
      <c r="K174" s="28">
        <f>J174/$J$16</f>
        <v>7.3656649796795008</v>
      </c>
      <c r="L174" s="28">
        <f>FINV(0.05,H174,$H$16)</f>
        <v>4.1300177456520188</v>
      </c>
      <c r="M174" s="28" t="str">
        <f>IF(K174&gt;=L174, "S", "NS")</f>
        <v>S</v>
      </c>
      <c r="N174" s="21"/>
      <c r="O174" s="30">
        <v>1</v>
      </c>
      <c r="P174" s="28">
        <f>(F170+F179)/2</f>
        <v>38.716666666666669</v>
      </c>
      <c r="Q174" s="31">
        <f>RANK(P174,P$174:P$182,0)</f>
        <v>9</v>
      </c>
      <c r="R174" s="35">
        <v>9</v>
      </c>
    </row>
    <row r="175" spans="1:18" x14ac:dyDescent="0.25">
      <c r="A175" s="27" t="s">
        <v>40</v>
      </c>
      <c r="B175" s="6">
        <v>72.5</v>
      </c>
      <c r="C175" s="6">
        <v>76.5</v>
      </c>
      <c r="D175" s="6">
        <v>69.8</v>
      </c>
      <c r="E175" s="28">
        <f t="shared" si="48"/>
        <v>218.8</v>
      </c>
      <c r="F175" s="28">
        <f t="shared" si="49"/>
        <v>72.933333333333337</v>
      </c>
      <c r="G175" s="28" t="s">
        <v>41</v>
      </c>
      <c r="H175" s="28">
        <f>B167-1</f>
        <v>8</v>
      </c>
      <c r="I175" s="28">
        <f>((E170+E179)^2+(E171+E180)^2+(E172+E181)^2+(E173+E182)^2+(E174+E183)^2+(E175+E184)^2+(E176+E185)^2+(E177+E186)^2+(E178+E187)^2/6)-B190</f>
        <v>989095.97833333339</v>
      </c>
      <c r="J175" s="28">
        <f t="shared" si="50"/>
        <v>123636.99729166667</v>
      </c>
      <c r="K175" s="28">
        <f>J175/$J$16</f>
        <v>23443.541247189376</v>
      </c>
      <c r="L175" s="28">
        <f>FINV(0.05,H175,$H$16)</f>
        <v>2.2253399674380931</v>
      </c>
      <c r="M175" s="28" t="str">
        <f>IF(K175&gt;=L175, "S", "NS")</f>
        <v>S</v>
      </c>
      <c r="N175" s="21"/>
      <c r="O175" s="30">
        <v>2</v>
      </c>
      <c r="P175" s="28">
        <f t="shared" ref="P175:P182" si="52">(F171+F180)/2</f>
        <v>64.383333333333326</v>
      </c>
      <c r="Q175" s="31">
        <f t="shared" ref="Q175:Q182" si="53">RANK(P175,P$174:P$182,0)</f>
        <v>5</v>
      </c>
      <c r="R175" s="37">
        <v>5</v>
      </c>
    </row>
    <row r="176" spans="1:18" x14ac:dyDescent="0.25">
      <c r="A176" s="27" t="s">
        <v>42</v>
      </c>
      <c r="B176" s="6">
        <v>65.2</v>
      </c>
      <c r="C176" s="6">
        <v>62.5</v>
      </c>
      <c r="D176" s="6">
        <v>65.2</v>
      </c>
      <c r="E176" s="28">
        <f t="shared" si="48"/>
        <v>192.9</v>
      </c>
      <c r="F176" s="28">
        <f t="shared" si="49"/>
        <v>64.3</v>
      </c>
      <c r="G176" s="38" t="s">
        <v>43</v>
      </c>
      <c r="H176" s="28">
        <f>H174*H175</f>
        <v>8</v>
      </c>
      <c r="I176" s="28">
        <f>I173-(I174+I175)</f>
        <v>-984375.29685185186</v>
      </c>
      <c r="J176" s="28">
        <f t="shared" si="50"/>
        <v>-123046.91210648148</v>
      </c>
      <c r="K176" s="39">
        <f>J176/$J$16</f>
        <v>-23331.651710228121</v>
      </c>
      <c r="L176" s="28">
        <f>FINV(0.05,H176,$H$16)</f>
        <v>2.2253399674380931</v>
      </c>
      <c r="M176" s="28" t="str">
        <f t="shared" ref="M176" si="54">IF(K176&gt;=L176, "S", "NS")</f>
        <v>NS</v>
      </c>
      <c r="N176" s="21"/>
      <c r="O176" s="30">
        <v>3</v>
      </c>
      <c r="P176" s="28">
        <f t="shared" si="52"/>
        <v>69.76666666666668</v>
      </c>
      <c r="Q176" s="31">
        <f t="shared" si="53"/>
        <v>2</v>
      </c>
      <c r="R176" s="37">
        <v>2</v>
      </c>
    </row>
    <row r="177" spans="1:18" x14ac:dyDescent="0.25">
      <c r="A177" s="27" t="s">
        <v>44</v>
      </c>
      <c r="B177" s="6">
        <v>70.8</v>
      </c>
      <c r="C177" s="6">
        <v>62.9</v>
      </c>
      <c r="D177" s="6">
        <v>68.8</v>
      </c>
      <c r="E177" s="28">
        <f t="shared" si="48"/>
        <v>202.5</v>
      </c>
      <c r="F177" s="28">
        <f t="shared" si="49"/>
        <v>67.5</v>
      </c>
      <c r="G177" s="40" t="s">
        <v>45</v>
      </c>
      <c r="H177" s="28">
        <f>((B168-1)*(B166*B167-1))</f>
        <v>34</v>
      </c>
      <c r="I177" s="28">
        <f>D192</f>
        <v>383.47333333326969</v>
      </c>
      <c r="J177" s="28">
        <f t="shared" si="50"/>
        <v>11.27862745097852</v>
      </c>
      <c r="O177" s="30">
        <v>4</v>
      </c>
      <c r="P177" s="28">
        <f t="shared" si="52"/>
        <v>61.533333333333339</v>
      </c>
      <c r="Q177" s="31">
        <f t="shared" si="53"/>
        <v>7</v>
      </c>
      <c r="R177" s="37">
        <v>7</v>
      </c>
    </row>
    <row r="178" spans="1:18" x14ac:dyDescent="0.25">
      <c r="A178" s="27" t="s">
        <v>46</v>
      </c>
      <c r="B178" s="6">
        <v>60.1</v>
      </c>
      <c r="C178" s="6">
        <v>64.2</v>
      </c>
      <c r="D178" s="6">
        <v>59.5</v>
      </c>
      <c r="E178" s="28">
        <f t="shared" si="48"/>
        <v>183.8</v>
      </c>
      <c r="F178" s="28">
        <f t="shared" si="49"/>
        <v>61.266666666666673</v>
      </c>
      <c r="G178" s="39" t="s">
        <v>20</v>
      </c>
      <c r="H178" s="28">
        <f>SUM(H172:H177)-H173</f>
        <v>53</v>
      </c>
      <c r="I178" s="28">
        <f>B191</f>
        <v>5144.7733333333163</v>
      </c>
      <c r="K178" s="28" t="s">
        <v>47</v>
      </c>
      <c r="L178" s="16">
        <f>TINV(0.05,34)</f>
        <v>2.0322445093177191</v>
      </c>
      <c r="O178" s="30">
        <v>5</v>
      </c>
      <c r="P178" s="28">
        <f t="shared" si="52"/>
        <v>68.350000000000009</v>
      </c>
      <c r="Q178" s="31">
        <f t="shared" si="53"/>
        <v>3</v>
      </c>
      <c r="R178" s="35">
        <v>3</v>
      </c>
    </row>
    <row r="179" spans="1:18" x14ac:dyDescent="0.25">
      <c r="A179" s="27" t="s">
        <v>48</v>
      </c>
      <c r="B179" s="8">
        <v>36.5</v>
      </c>
      <c r="C179" s="8">
        <v>35.5</v>
      </c>
      <c r="D179" s="8">
        <v>40.4</v>
      </c>
      <c r="E179" s="28">
        <f t="shared" si="48"/>
        <v>112.4</v>
      </c>
      <c r="F179" s="28">
        <f t="shared" si="49"/>
        <v>37.466666666666669</v>
      </c>
      <c r="G179" s="42" t="s">
        <v>33</v>
      </c>
      <c r="H179" s="28">
        <f>SQRT(J177/3)</f>
        <v>1.9389539663590538</v>
      </c>
      <c r="O179" s="30">
        <v>6</v>
      </c>
      <c r="P179" s="28">
        <f t="shared" si="52"/>
        <v>72.533333333333331</v>
      </c>
      <c r="Q179" s="31">
        <f t="shared" si="53"/>
        <v>1</v>
      </c>
      <c r="R179" s="37">
        <v>1</v>
      </c>
    </row>
    <row r="180" spans="1:18" x14ac:dyDescent="0.25">
      <c r="A180" s="27" t="s">
        <v>49</v>
      </c>
      <c r="B180" s="6">
        <v>63.6</v>
      </c>
      <c r="C180" s="6">
        <v>64.099999999999994</v>
      </c>
      <c r="D180" s="6">
        <v>62.5</v>
      </c>
      <c r="E180" s="28">
        <f t="shared" si="48"/>
        <v>190.2</v>
      </c>
      <c r="F180" s="28">
        <f t="shared" si="49"/>
        <v>63.4</v>
      </c>
      <c r="G180" s="42" t="s">
        <v>37</v>
      </c>
      <c r="H180" s="28">
        <f>(SQRT((2*J177)/3))*L178</f>
        <v>5.5726074997341088</v>
      </c>
      <c r="O180" s="30">
        <v>7</v>
      </c>
      <c r="P180" s="28">
        <f t="shared" si="52"/>
        <v>63.75</v>
      </c>
      <c r="Q180" s="31">
        <f t="shared" si="53"/>
        <v>6</v>
      </c>
      <c r="R180" s="37">
        <v>6</v>
      </c>
    </row>
    <row r="181" spans="1:18" x14ac:dyDescent="0.25">
      <c r="A181" s="27" t="s">
        <v>50</v>
      </c>
      <c r="B181" s="6">
        <v>71.5</v>
      </c>
      <c r="C181" s="6">
        <v>62.5</v>
      </c>
      <c r="D181" s="6">
        <v>69.8</v>
      </c>
      <c r="E181" s="28">
        <f t="shared" si="48"/>
        <v>203.8</v>
      </c>
      <c r="F181" s="28">
        <f t="shared" si="49"/>
        <v>67.933333333333337</v>
      </c>
      <c r="G181" s="42" t="s">
        <v>51</v>
      </c>
      <c r="H181" s="28">
        <f>((SQRT(J177))/F188)*100</f>
        <v>5.3354459045789397</v>
      </c>
      <c r="O181" s="30">
        <v>8</v>
      </c>
      <c r="P181" s="28">
        <f t="shared" si="52"/>
        <v>67.216666666666669</v>
      </c>
      <c r="Q181" s="31">
        <f t="shared" si="53"/>
        <v>4</v>
      </c>
      <c r="R181" s="35">
        <v>4</v>
      </c>
    </row>
    <row r="182" spans="1:18" x14ac:dyDescent="0.25">
      <c r="A182" s="27" t="s">
        <v>52</v>
      </c>
      <c r="B182" s="6">
        <v>61.5</v>
      </c>
      <c r="C182" s="6">
        <v>58.5</v>
      </c>
      <c r="D182" s="6">
        <v>62.5</v>
      </c>
      <c r="E182" s="28">
        <f t="shared" si="48"/>
        <v>182.5</v>
      </c>
      <c r="F182" s="28">
        <f t="shared" si="49"/>
        <v>60.833333333333336</v>
      </c>
      <c r="I182" s="87"/>
      <c r="J182" s="21"/>
      <c r="K182" s="21"/>
      <c r="L182" s="21"/>
      <c r="O182" s="30">
        <v>9</v>
      </c>
      <c r="P182" s="28">
        <f t="shared" si="52"/>
        <v>60.25</v>
      </c>
      <c r="Q182" s="31">
        <f t="shared" si="53"/>
        <v>8</v>
      </c>
      <c r="R182" s="37">
        <v>8</v>
      </c>
    </row>
    <row r="183" spans="1:18" x14ac:dyDescent="0.25">
      <c r="A183" s="27" t="s">
        <v>53</v>
      </c>
      <c r="B183" s="6">
        <v>63.6</v>
      </c>
      <c r="C183" s="6">
        <v>71.7</v>
      </c>
      <c r="D183" s="6">
        <v>67.900000000000006</v>
      </c>
      <c r="E183" s="28">
        <f t="shared" si="48"/>
        <v>203.20000000000002</v>
      </c>
      <c r="F183" s="28">
        <f t="shared" si="49"/>
        <v>67.733333333333334</v>
      </c>
      <c r="I183" s="87"/>
      <c r="J183" s="21"/>
      <c r="K183" s="21"/>
      <c r="L183" s="21"/>
      <c r="O183" s="25" t="s">
        <v>33</v>
      </c>
      <c r="P183" s="33">
        <f>SQRT(J177/(3*2))</f>
        <v>1.3710474980210399</v>
      </c>
      <c r="Q183" s="31"/>
    </row>
    <row r="184" spans="1:18" x14ac:dyDescent="0.25">
      <c r="A184" s="27" t="s">
        <v>55</v>
      </c>
      <c r="B184" s="6">
        <v>72.599999999999994</v>
      </c>
      <c r="C184" s="6">
        <v>75.2</v>
      </c>
      <c r="D184" s="6">
        <v>68.599999999999994</v>
      </c>
      <c r="E184" s="28">
        <f t="shared" si="48"/>
        <v>216.4</v>
      </c>
      <c r="F184" s="28">
        <f t="shared" si="49"/>
        <v>72.13333333333334</v>
      </c>
      <c r="I184" s="87"/>
      <c r="J184" s="21"/>
      <c r="K184" s="21"/>
      <c r="L184" s="21"/>
      <c r="N184" s="25" t="s">
        <v>41</v>
      </c>
      <c r="O184" s="25" t="s">
        <v>37</v>
      </c>
      <c r="P184" s="33">
        <f>SQRT((2*J177)/(3*2))*L178</f>
        <v>3.9404285519530005</v>
      </c>
      <c r="Q184" s="31"/>
    </row>
    <row r="185" spans="1:18" x14ac:dyDescent="0.25">
      <c r="A185" s="27" t="s">
        <v>56</v>
      </c>
      <c r="B185" s="6">
        <v>63.2</v>
      </c>
      <c r="C185" s="6">
        <v>65.5</v>
      </c>
      <c r="D185" s="6">
        <v>60.900000000000006</v>
      </c>
      <c r="E185" s="28">
        <f t="shared" si="48"/>
        <v>189.6</v>
      </c>
      <c r="F185" s="28">
        <f>E185/3</f>
        <v>63.199999999999996</v>
      </c>
      <c r="I185" s="87"/>
      <c r="J185" s="21"/>
      <c r="K185" s="21"/>
      <c r="L185" s="21"/>
      <c r="Q185" s="31"/>
    </row>
    <row r="186" spans="1:18" x14ac:dyDescent="0.25">
      <c r="A186" s="27" t="s">
        <v>57</v>
      </c>
      <c r="B186" s="6">
        <v>62.8</v>
      </c>
      <c r="C186" s="6">
        <v>70.900000000000006</v>
      </c>
      <c r="D186" s="6">
        <v>67.099999999999994</v>
      </c>
      <c r="E186" s="28">
        <f t="shared" si="48"/>
        <v>200.79999999999998</v>
      </c>
      <c r="F186" s="28">
        <f t="shared" ref="F186:F187" si="55">E186/3</f>
        <v>66.933333333333323</v>
      </c>
      <c r="I186" s="87"/>
      <c r="J186" s="21"/>
      <c r="K186" s="21"/>
      <c r="L186" s="21"/>
    </row>
    <row r="187" spans="1:18" x14ac:dyDescent="0.25">
      <c r="A187" s="27" t="s">
        <v>58</v>
      </c>
      <c r="B187" s="6">
        <v>66.5</v>
      </c>
      <c r="C187" s="6">
        <v>59.8</v>
      </c>
      <c r="D187" s="6">
        <v>51.4</v>
      </c>
      <c r="E187" s="28">
        <f t="shared" si="48"/>
        <v>177.7</v>
      </c>
      <c r="F187" s="28">
        <f t="shared" si="55"/>
        <v>59.233333333333327</v>
      </c>
      <c r="I187" s="87"/>
      <c r="J187" s="21"/>
      <c r="K187" s="21"/>
      <c r="L187" s="21"/>
    </row>
    <row r="188" spans="1:18" x14ac:dyDescent="0.25">
      <c r="A188" s="25" t="s">
        <v>20</v>
      </c>
      <c r="B188" s="28">
        <f>SUM(B170:B187)</f>
        <v>1136.4000000000001</v>
      </c>
      <c r="C188" s="28">
        <f t="shared" ref="C188:D188" si="56">SUM(C170:C187)</f>
        <v>1134</v>
      </c>
      <c r="D188" s="28">
        <f t="shared" si="56"/>
        <v>1128.5999999999999</v>
      </c>
      <c r="E188" s="28">
        <f>SUM(E170:E187)</f>
        <v>3399</v>
      </c>
      <c r="F188" s="28">
        <f>AVERAGE(B170:D187)</f>
        <v>62.944444444444443</v>
      </c>
      <c r="I188" s="87"/>
      <c r="J188" s="21"/>
      <c r="K188" s="21"/>
      <c r="L188" s="21"/>
    </row>
    <row r="189" spans="1:18" x14ac:dyDescent="0.25">
      <c r="A189" s="25" t="s">
        <v>11</v>
      </c>
      <c r="B189" s="28">
        <f>B188/18</f>
        <v>63.13333333333334</v>
      </c>
      <c r="C189" s="28">
        <f>C188/18</f>
        <v>63</v>
      </c>
      <c r="D189" s="28">
        <f>D188/18</f>
        <v>62.699999999999996</v>
      </c>
      <c r="I189" s="87"/>
      <c r="J189" s="21"/>
      <c r="K189" s="21"/>
      <c r="L189" s="21"/>
    </row>
    <row r="190" spans="1:18" x14ac:dyDescent="0.25">
      <c r="A190" s="25" t="s">
        <v>59</v>
      </c>
      <c r="B190" s="28">
        <f>(E188*E188)/54</f>
        <v>213948.16666666666</v>
      </c>
      <c r="C190" s="28"/>
      <c r="D190" s="28"/>
      <c r="I190" s="87"/>
      <c r="J190" s="21"/>
      <c r="K190" s="21"/>
      <c r="L190" s="21"/>
    </row>
    <row r="191" spans="1:18" x14ac:dyDescent="0.25">
      <c r="A191" s="25" t="s">
        <v>60</v>
      </c>
      <c r="B191" s="28">
        <f>SUMSQ(B170:D187)-B190</f>
        <v>5144.7733333333163</v>
      </c>
      <c r="C191" s="25" t="s">
        <v>61</v>
      </c>
      <c r="D191" s="28">
        <f>(SUMSQ(B188:D188)/18)-B190</f>
        <v>1.7733333333453629</v>
      </c>
      <c r="I191" s="87"/>
      <c r="J191" s="21"/>
      <c r="K191" s="21"/>
      <c r="L191" s="21"/>
    </row>
    <row r="192" spans="1:18" x14ac:dyDescent="0.25">
      <c r="A192" s="25" t="s">
        <v>62</v>
      </c>
      <c r="B192" s="28">
        <f>(SUMSQ(E170:E187)/3)-B190</f>
        <v>4759.5266666667012</v>
      </c>
      <c r="C192" s="25" t="s">
        <v>63</v>
      </c>
      <c r="D192" s="28">
        <f>B191-B192-D191</f>
        <v>383.47333333326969</v>
      </c>
      <c r="I192" s="87"/>
      <c r="J192" s="21"/>
      <c r="K192" s="21"/>
      <c r="L192" s="21"/>
    </row>
    <row r="193" spans="1:18" x14ac:dyDescent="0.25">
      <c r="I193" s="87"/>
      <c r="J193" s="21"/>
      <c r="K193" s="21"/>
      <c r="L193" s="21"/>
    </row>
    <row r="194" spans="1:18" x14ac:dyDescent="0.25">
      <c r="I194" s="87"/>
      <c r="J194" s="21"/>
      <c r="K194" s="21"/>
      <c r="L194" s="21"/>
    </row>
    <row r="195" spans="1:18" x14ac:dyDescent="0.25">
      <c r="I195" s="87"/>
      <c r="J195" s="21"/>
      <c r="K195" s="21"/>
      <c r="L195" s="21"/>
    </row>
    <row r="196" spans="1:18" ht="15.75" x14ac:dyDescent="0.25">
      <c r="C196" s="18" t="s">
        <v>65</v>
      </c>
      <c r="I196" s="87"/>
      <c r="J196" s="21"/>
      <c r="K196" s="21"/>
      <c r="L196" s="21"/>
    </row>
    <row r="197" spans="1:18" x14ac:dyDescent="0.25">
      <c r="I197" s="87"/>
      <c r="J197" s="21"/>
      <c r="K197" s="21"/>
      <c r="L197" s="21"/>
    </row>
    <row r="198" spans="1:18" x14ac:dyDescent="0.25">
      <c r="A198" s="19" t="s">
        <v>13</v>
      </c>
      <c r="B198" s="20">
        <v>2</v>
      </c>
      <c r="C198" s="21"/>
      <c r="D198" s="21"/>
      <c r="E198" s="21"/>
      <c r="F198" s="21"/>
      <c r="G198" s="21"/>
      <c r="H198" s="21"/>
      <c r="I198" s="87"/>
      <c r="J198" s="21"/>
      <c r="K198" s="21"/>
      <c r="L198" s="21"/>
      <c r="M198" s="22"/>
      <c r="N198" s="22"/>
      <c r="O198" s="21"/>
      <c r="P198" s="21"/>
    </row>
    <row r="199" spans="1:18" x14ac:dyDescent="0.25">
      <c r="A199" s="19" t="s">
        <v>14</v>
      </c>
      <c r="B199" s="20">
        <v>9</v>
      </c>
      <c r="C199" s="21" t="s">
        <v>15</v>
      </c>
      <c r="D199" s="21">
        <v>18</v>
      </c>
      <c r="E199" s="21"/>
      <c r="F199" s="21"/>
      <c r="G199" s="21"/>
      <c r="H199" s="21"/>
      <c r="I199" s="87"/>
      <c r="J199" s="21"/>
      <c r="K199" s="21"/>
      <c r="L199" s="21"/>
      <c r="M199" s="22"/>
      <c r="N199" s="22"/>
      <c r="O199" s="21"/>
      <c r="P199" s="21"/>
    </row>
    <row r="200" spans="1:18" x14ac:dyDescent="0.25">
      <c r="A200" s="15" t="s">
        <v>16</v>
      </c>
      <c r="B200" s="23">
        <v>3</v>
      </c>
    </row>
    <row r="201" spans="1:18" x14ac:dyDescent="0.25">
      <c r="A201" s="24" t="s">
        <v>0</v>
      </c>
      <c r="B201" s="25" t="s">
        <v>17</v>
      </c>
      <c r="C201" s="25" t="s">
        <v>18</v>
      </c>
      <c r="D201" s="25" t="s">
        <v>19</v>
      </c>
      <c r="E201" s="25" t="s">
        <v>20</v>
      </c>
      <c r="F201" s="25" t="s">
        <v>11</v>
      </c>
      <c r="O201" s="16" t="s">
        <v>21</v>
      </c>
      <c r="R201" s="16"/>
    </row>
    <row r="202" spans="1:18" x14ac:dyDescent="0.25">
      <c r="A202" s="27" t="s">
        <v>22</v>
      </c>
      <c r="B202" s="44">
        <f>(B138+B170)</f>
        <v>65.7</v>
      </c>
      <c r="C202" s="44">
        <f t="shared" ref="C202:D202" si="57">(C138+C170)</f>
        <v>60.3</v>
      </c>
      <c r="D202" s="44">
        <f t="shared" si="57"/>
        <v>65.760000000000005</v>
      </c>
      <c r="E202" s="28">
        <f>SUM(B202:D202)</f>
        <v>191.76</v>
      </c>
      <c r="F202" s="28">
        <f>E202/3</f>
        <v>63.919999999999995</v>
      </c>
      <c r="H202" s="29"/>
      <c r="I202" s="29"/>
      <c r="J202" s="29" t="s">
        <v>23</v>
      </c>
      <c r="K202" s="29"/>
      <c r="L202" s="29"/>
      <c r="M202" s="29"/>
      <c r="N202" s="29"/>
      <c r="O202" s="30">
        <v>1</v>
      </c>
      <c r="P202" s="28">
        <f>SUM(F202:F210)/9</f>
        <v>105.07851851851852</v>
      </c>
      <c r="Q202" s="31">
        <f>RANK(P202,P$202:P$203,0)</f>
        <v>1</v>
      </c>
      <c r="R202" s="16"/>
    </row>
    <row r="203" spans="1:18" x14ac:dyDescent="0.25">
      <c r="A203" s="27" t="s">
        <v>24</v>
      </c>
      <c r="B203" s="44">
        <f t="shared" ref="B203:D218" si="58">(B139+B171)</f>
        <v>105.06</v>
      </c>
      <c r="C203" s="44">
        <f t="shared" si="58"/>
        <v>107.69999999999999</v>
      </c>
      <c r="D203" s="44">
        <f t="shared" si="58"/>
        <v>111</v>
      </c>
      <c r="E203" s="28">
        <f t="shared" ref="E203:E219" si="59">SUM(B203:D203)</f>
        <v>323.76</v>
      </c>
      <c r="F203" s="28">
        <f t="shared" ref="F203:F216" si="60">E203/3</f>
        <v>107.92</v>
      </c>
      <c r="G203" s="28"/>
      <c r="H203" s="25" t="s">
        <v>25</v>
      </c>
      <c r="I203" s="25" t="s">
        <v>26</v>
      </c>
      <c r="J203" s="25" t="s">
        <v>27</v>
      </c>
      <c r="K203" s="25" t="s">
        <v>28</v>
      </c>
      <c r="L203" s="25" t="s">
        <v>29</v>
      </c>
      <c r="M203" s="25" t="s">
        <v>30</v>
      </c>
      <c r="N203" s="32"/>
      <c r="O203" s="30">
        <v>2</v>
      </c>
      <c r="P203" s="28">
        <f>SUM(F211:F219)/9</f>
        <v>101.77962962962962</v>
      </c>
      <c r="Q203" s="31">
        <f>RANK(P203,P$202:P$203,0)</f>
        <v>2</v>
      </c>
      <c r="R203" s="16"/>
    </row>
    <row r="204" spans="1:18" x14ac:dyDescent="0.25">
      <c r="A204" s="27" t="s">
        <v>31</v>
      </c>
      <c r="B204" s="44">
        <f t="shared" si="58"/>
        <v>118.7</v>
      </c>
      <c r="C204" s="44">
        <f t="shared" si="58"/>
        <v>120.4</v>
      </c>
      <c r="D204" s="44">
        <f t="shared" si="58"/>
        <v>120.3</v>
      </c>
      <c r="E204" s="28">
        <f t="shared" si="59"/>
        <v>359.40000000000003</v>
      </c>
      <c r="F204" s="28">
        <f t="shared" si="60"/>
        <v>119.80000000000001</v>
      </c>
      <c r="G204" s="28" t="s">
        <v>32</v>
      </c>
      <c r="H204" s="28">
        <f>B200-1</f>
        <v>2</v>
      </c>
      <c r="I204" s="28">
        <f>D223</f>
        <v>10.046892592683434</v>
      </c>
      <c r="J204" s="28">
        <f>I204/H204</f>
        <v>5.0234462963417172</v>
      </c>
      <c r="K204" s="28">
        <f>J204/$J$16</f>
        <v>0.95252532034167625</v>
      </c>
      <c r="L204" s="28">
        <f>FINV(0.05,H204,$H$16)</f>
        <v>3.275897990672394</v>
      </c>
      <c r="M204" s="28" t="str">
        <f>IF(K204&gt;=L204, "S", "NS")</f>
        <v>NS</v>
      </c>
      <c r="N204" s="21"/>
      <c r="O204" s="25" t="s">
        <v>33</v>
      </c>
      <c r="P204" s="33">
        <f>SQRT(J209/(3*9))</f>
        <v>0.88152437831583219</v>
      </c>
      <c r="R204" s="16"/>
    </row>
    <row r="205" spans="1:18" x14ac:dyDescent="0.25">
      <c r="A205" s="27" t="s">
        <v>34</v>
      </c>
      <c r="B205" s="44">
        <f t="shared" si="58"/>
        <v>101.5</v>
      </c>
      <c r="C205" s="44">
        <f t="shared" si="58"/>
        <v>99.800000000000011</v>
      </c>
      <c r="D205" s="44">
        <f t="shared" si="58"/>
        <v>100.7</v>
      </c>
      <c r="E205" s="28">
        <f t="shared" si="59"/>
        <v>302</v>
      </c>
      <c r="F205" s="28">
        <f t="shared" si="60"/>
        <v>100.66666666666667</v>
      </c>
      <c r="G205" s="28" t="s">
        <v>35</v>
      </c>
      <c r="H205" s="28">
        <f>D199-1</f>
        <v>17</v>
      </c>
      <c r="I205" s="28">
        <f>B224</f>
        <v>15086.020920370589</v>
      </c>
      <c r="J205" s="28">
        <f t="shared" ref="J205:J209" si="61">I205/H205</f>
        <v>887.41299531591699</v>
      </c>
      <c r="K205" s="28">
        <f>J205/$J$16</f>
        <v>168.26761903560725</v>
      </c>
      <c r="L205" s="28">
        <f>FINV(0.05,H205,$H$16)</f>
        <v>1.9332068318040869</v>
      </c>
      <c r="M205" s="34" t="str">
        <f t="shared" ref="M205" si="62">IF(K205&gt;=L205, "S", "NS")</f>
        <v>S</v>
      </c>
      <c r="N205" s="25" t="s">
        <v>36</v>
      </c>
      <c r="O205" s="25" t="s">
        <v>37</v>
      </c>
      <c r="P205" s="33">
        <f>SQRT((2*J209)/(3*9))*L210</f>
        <v>2.5335255230559626</v>
      </c>
      <c r="R205" s="16"/>
    </row>
    <row r="206" spans="1:18" x14ac:dyDescent="0.25">
      <c r="A206" s="27" t="s">
        <v>38</v>
      </c>
      <c r="B206" s="44">
        <f t="shared" si="58"/>
        <v>116.7</v>
      </c>
      <c r="C206" s="44">
        <f t="shared" si="58"/>
        <v>117.80000000000001</v>
      </c>
      <c r="D206" s="44">
        <f t="shared" si="58"/>
        <v>113.4</v>
      </c>
      <c r="E206" s="28">
        <f t="shared" si="59"/>
        <v>347.9</v>
      </c>
      <c r="F206" s="28">
        <f t="shared" si="60"/>
        <v>115.96666666666665</v>
      </c>
      <c r="G206" s="28" t="s">
        <v>39</v>
      </c>
      <c r="H206" s="28">
        <f>B198-1</f>
        <v>1</v>
      </c>
      <c r="I206" s="28">
        <f>(SUM(E202:E210)^2+SUM(E211:E219)^2)/27-B222</f>
        <v>146.91601666680072</v>
      </c>
      <c r="J206" s="28">
        <f t="shared" si="61"/>
        <v>146.91601666680072</v>
      </c>
      <c r="K206" s="28">
        <f>J206/$J$16</f>
        <v>27.857613595029061</v>
      </c>
      <c r="L206" s="28">
        <f>FINV(0.05,H206,$H$16)</f>
        <v>4.1300177456520188</v>
      </c>
      <c r="M206" s="28" t="str">
        <f>IF(K206&gt;=L206, "S", "NS")</f>
        <v>S</v>
      </c>
      <c r="N206" s="21"/>
      <c r="O206" s="30">
        <v>1</v>
      </c>
      <c r="P206" s="28">
        <f>(F202+F211)/2</f>
        <v>62.226666666666667</v>
      </c>
      <c r="Q206" s="31">
        <f>RANK(P206,P$206:P$214,0)</f>
        <v>9</v>
      </c>
      <c r="R206" s="35">
        <v>9</v>
      </c>
    </row>
    <row r="207" spans="1:18" x14ac:dyDescent="0.25">
      <c r="A207" s="27" t="s">
        <v>40</v>
      </c>
      <c r="B207" s="44">
        <f t="shared" si="58"/>
        <v>125.1</v>
      </c>
      <c r="C207" s="44">
        <f t="shared" si="58"/>
        <v>127.3</v>
      </c>
      <c r="D207" s="44">
        <f t="shared" si="58"/>
        <v>118.69999999999999</v>
      </c>
      <c r="E207" s="28">
        <f t="shared" si="59"/>
        <v>371.09999999999997</v>
      </c>
      <c r="F207" s="28">
        <f t="shared" si="60"/>
        <v>123.69999999999999</v>
      </c>
      <c r="G207" s="28" t="s">
        <v>41</v>
      </c>
      <c r="H207" s="28">
        <f>B199-1</f>
        <v>8</v>
      </c>
      <c r="I207" s="28">
        <f>((E202+E211)^2+(E203+E212)^2+(E204+E213)^2+(E205+E214)^2+(E206+E215)^2+(E207+E216)^2+(E208+E217)^2+(E209+E218)^2+(E210+E219)^2/6)-B222</f>
        <v>2696461.4367203708</v>
      </c>
      <c r="J207" s="28">
        <f t="shared" si="61"/>
        <v>337057.67959004635</v>
      </c>
      <c r="K207" s="28">
        <f>J207/$J$16</f>
        <v>63911.49726412668</v>
      </c>
      <c r="L207" s="28">
        <f>FINV(0.05,H207,$H$16)</f>
        <v>2.2253399674380931</v>
      </c>
      <c r="M207" s="28" t="str">
        <f>IF(K207&gt;=L207, "S", "NS")</f>
        <v>S</v>
      </c>
      <c r="N207" s="21"/>
      <c r="O207" s="30">
        <v>2</v>
      </c>
      <c r="P207" s="28">
        <f t="shared" ref="P207:P214" si="63">(F203+F212)/2</f>
        <v>104.72666666666667</v>
      </c>
      <c r="Q207" s="31">
        <f t="shared" ref="Q207:Q214" si="64">RANK(P207,P$206:P$214,0)</f>
        <v>5</v>
      </c>
      <c r="R207" s="37">
        <v>5</v>
      </c>
    </row>
    <row r="208" spans="1:18" x14ac:dyDescent="0.25">
      <c r="A208" s="27" t="s">
        <v>42</v>
      </c>
      <c r="B208" s="44">
        <f t="shared" si="58"/>
        <v>105</v>
      </c>
      <c r="C208" s="44">
        <f t="shared" si="58"/>
        <v>101.9</v>
      </c>
      <c r="D208" s="44">
        <f t="shared" si="58"/>
        <v>106</v>
      </c>
      <c r="E208" s="28">
        <f t="shared" si="59"/>
        <v>312.89999999999998</v>
      </c>
      <c r="F208" s="28">
        <f t="shared" si="60"/>
        <v>104.3</v>
      </c>
      <c r="G208" s="38" t="s">
        <v>43</v>
      </c>
      <c r="H208" s="28">
        <f>H206*H207</f>
        <v>8</v>
      </c>
      <c r="I208" s="28">
        <f>I205-(I206+I207)</f>
        <v>-2681522.3318166668</v>
      </c>
      <c r="J208" s="28">
        <f t="shared" si="61"/>
        <v>-335190.29147708334</v>
      </c>
      <c r="K208" s="39">
        <f>J208/$J$16</f>
        <v>-63557.410775375392</v>
      </c>
      <c r="L208" s="28">
        <f>FINV(0.05,H208,$H$16)</f>
        <v>2.2253399674380931</v>
      </c>
      <c r="M208" s="28" t="str">
        <f t="shared" ref="M208" si="65">IF(K208&gt;=L208, "S", "NS")</f>
        <v>NS</v>
      </c>
      <c r="N208" s="21"/>
      <c r="O208" s="30">
        <v>3</v>
      </c>
      <c r="P208" s="28">
        <f t="shared" si="63"/>
        <v>117.69166666666666</v>
      </c>
      <c r="Q208" s="31">
        <f t="shared" si="64"/>
        <v>2</v>
      </c>
      <c r="R208" s="37">
        <v>2</v>
      </c>
    </row>
    <row r="209" spans="1:18" x14ac:dyDescent="0.25">
      <c r="A209" s="27" t="s">
        <v>44</v>
      </c>
      <c r="B209" s="44">
        <f t="shared" si="58"/>
        <v>115.4</v>
      </c>
      <c r="C209" s="44">
        <f t="shared" si="58"/>
        <v>106.69999999999999</v>
      </c>
      <c r="D209" s="44">
        <f t="shared" si="58"/>
        <v>111.6</v>
      </c>
      <c r="E209" s="28">
        <f t="shared" si="59"/>
        <v>333.7</v>
      </c>
      <c r="F209" s="28">
        <f t="shared" si="60"/>
        <v>111.23333333333333</v>
      </c>
      <c r="G209" s="40" t="s">
        <v>45</v>
      </c>
      <c r="H209" s="28">
        <f>((B200-1)*(B198*B199-1))</f>
        <v>34</v>
      </c>
      <c r="I209" s="28">
        <f>D224</f>
        <v>713.36424074077513</v>
      </c>
      <c r="J209" s="28">
        <f t="shared" si="61"/>
        <v>20.981301198258091</v>
      </c>
      <c r="O209" s="30">
        <v>4</v>
      </c>
      <c r="P209" s="28">
        <f t="shared" si="63"/>
        <v>99.350000000000009</v>
      </c>
      <c r="Q209" s="31">
        <f t="shared" si="64"/>
        <v>7</v>
      </c>
      <c r="R209" s="37">
        <v>7</v>
      </c>
    </row>
    <row r="210" spans="1:18" x14ac:dyDescent="0.25">
      <c r="A210" s="27" t="s">
        <v>46</v>
      </c>
      <c r="B210" s="44">
        <f t="shared" si="58"/>
        <v>99.6</v>
      </c>
      <c r="C210" s="44">
        <f t="shared" si="58"/>
        <v>101</v>
      </c>
      <c r="D210" s="44">
        <f t="shared" si="58"/>
        <v>94</v>
      </c>
      <c r="E210" s="28">
        <f t="shared" si="59"/>
        <v>294.60000000000002</v>
      </c>
      <c r="F210" s="28">
        <f t="shared" si="60"/>
        <v>98.2</v>
      </c>
      <c r="G210" s="39" t="s">
        <v>20</v>
      </c>
      <c r="H210" s="28">
        <f>SUM(H204:H209)-H205</f>
        <v>53</v>
      </c>
      <c r="I210" s="28">
        <f>B223</f>
        <v>15809.432053704048</v>
      </c>
      <c r="K210" s="28" t="s">
        <v>47</v>
      </c>
      <c r="L210" s="16">
        <f>TINV(0.05,34)</f>
        <v>2.0322445093177191</v>
      </c>
      <c r="O210" s="30">
        <v>5</v>
      </c>
      <c r="P210" s="28">
        <f t="shared" si="63"/>
        <v>113.26666666666667</v>
      </c>
      <c r="Q210" s="31">
        <f t="shared" si="64"/>
        <v>3</v>
      </c>
      <c r="R210" s="35">
        <v>3</v>
      </c>
    </row>
    <row r="211" spans="1:18" x14ac:dyDescent="0.25">
      <c r="A211" s="27" t="s">
        <v>48</v>
      </c>
      <c r="B211" s="44">
        <f t="shared" si="58"/>
        <v>56.6</v>
      </c>
      <c r="C211" s="44">
        <f t="shared" si="58"/>
        <v>58.1</v>
      </c>
      <c r="D211" s="44">
        <f t="shared" si="58"/>
        <v>66.900000000000006</v>
      </c>
      <c r="E211" s="28">
        <f t="shared" si="59"/>
        <v>181.60000000000002</v>
      </c>
      <c r="F211" s="28">
        <f t="shared" si="60"/>
        <v>60.533333333333339</v>
      </c>
      <c r="G211" s="42" t="s">
        <v>33</v>
      </c>
      <c r="H211" s="28">
        <f>SQRT(J209/3)</f>
        <v>2.6445731349474966</v>
      </c>
      <c r="O211" s="30">
        <v>6</v>
      </c>
      <c r="P211" s="28">
        <f t="shared" si="63"/>
        <v>122.71666666666667</v>
      </c>
      <c r="Q211" s="31">
        <f t="shared" si="64"/>
        <v>1</v>
      </c>
      <c r="R211" s="37">
        <v>1</v>
      </c>
    </row>
    <row r="212" spans="1:18" x14ac:dyDescent="0.25">
      <c r="A212" s="27" t="s">
        <v>49</v>
      </c>
      <c r="B212" s="44">
        <f t="shared" si="58"/>
        <v>103.4</v>
      </c>
      <c r="C212" s="44">
        <f t="shared" si="58"/>
        <v>99.199999999999989</v>
      </c>
      <c r="D212" s="44">
        <f t="shared" si="58"/>
        <v>102</v>
      </c>
      <c r="E212" s="28">
        <f t="shared" si="59"/>
        <v>304.60000000000002</v>
      </c>
      <c r="F212" s="28">
        <f t="shared" si="60"/>
        <v>101.53333333333335</v>
      </c>
      <c r="G212" s="42" t="s">
        <v>37</v>
      </c>
      <c r="H212" s="28">
        <f>(SQRT((2*J209)/3))*L210</f>
        <v>7.6005765691678864</v>
      </c>
      <c r="O212" s="30">
        <v>7</v>
      </c>
      <c r="P212" s="28">
        <f t="shared" si="63"/>
        <v>103.4</v>
      </c>
      <c r="Q212" s="31">
        <f t="shared" si="64"/>
        <v>6</v>
      </c>
      <c r="R212" s="37">
        <v>6</v>
      </c>
    </row>
    <row r="213" spans="1:18" x14ac:dyDescent="0.25">
      <c r="A213" s="27" t="s">
        <v>50</v>
      </c>
      <c r="B213" s="44">
        <f t="shared" si="58"/>
        <v>120.45</v>
      </c>
      <c r="C213" s="44">
        <f t="shared" si="58"/>
        <v>112</v>
      </c>
      <c r="D213" s="44">
        <f t="shared" si="58"/>
        <v>114.3</v>
      </c>
      <c r="E213" s="28">
        <f t="shared" si="59"/>
        <v>346.75</v>
      </c>
      <c r="F213" s="28">
        <f t="shared" si="60"/>
        <v>115.58333333333333</v>
      </c>
      <c r="G213" s="42" t="s">
        <v>51</v>
      </c>
      <c r="H213" s="28">
        <f>((SQRT(J209))/F220)*100</f>
        <v>4.4286725710995647</v>
      </c>
      <c r="O213" s="30">
        <v>8</v>
      </c>
      <c r="P213" s="28">
        <f t="shared" si="63"/>
        <v>110.65</v>
      </c>
      <c r="Q213" s="31">
        <f t="shared" si="64"/>
        <v>4</v>
      </c>
      <c r="R213" s="35">
        <v>4</v>
      </c>
    </row>
    <row r="214" spans="1:18" x14ac:dyDescent="0.25">
      <c r="A214" s="27" t="s">
        <v>52</v>
      </c>
      <c r="B214" s="44">
        <f t="shared" si="58"/>
        <v>99.9</v>
      </c>
      <c r="C214" s="44">
        <f t="shared" si="58"/>
        <v>96.3</v>
      </c>
      <c r="D214" s="44">
        <f t="shared" si="58"/>
        <v>97.9</v>
      </c>
      <c r="E214" s="28">
        <f t="shared" si="59"/>
        <v>294.10000000000002</v>
      </c>
      <c r="F214" s="28">
        <f t="shared" si="60"/>
        <v>98.033333333333346</v>
      </c>
      <c r="O214" s="30">
        <v>9</v>
      </c>
      <c r="P214" s="28">
        <f t="shared" si="63"/>
        <v>96.833333333333329</v>
      </c>
      <c r="Q214" s="31">
        <f t="shared" si="64"/>
        <v>8</v>
      </c>
      <c r="R214" s="37">
        <v>8</v>
      </c>
    </row>
    <row r="215" spans="1:18" x14ac:dyDescent="0.25">
      <c r="A215" s="27" t="s">
        <v>53</v>
      </c>
      <c r="B215" s="44">
        <f t="shared" si="58"/>
        <v>101.1</v>
      </c>
      <c r="C215" s="44">
        <f t="shared" si="58"/>
        <v>119.2</v>
      </c>
      <c r="D215" s="44">
        <f t="shared" si="58"/>
        <v>111.4</v>
      </c>
      <c r="E215" s="28">
        <f t="shared" si="59"/>
        <v>331.70000000000005</v>
      </c>
      <c r="F215" s="28">
        <f t="shared" si="60"/>
        <v>110.56666666666668</v>
      </c>
      <c r="O215" s="25" t="s">
        <v>33</v>
      </c>
      <c r="P215" s="33">
        <f>SQRT(J209/(3*2))</f>
        <v>1.8699955970651414</v>
      </c>
      <c r="Q215" s="31"/>
    </row>
    <row r="216" spans="1:18" x14ac:dyDescent="0.25">
      <c r="A216" s="27" t="s">
        <v>55</v>
      </c>
      <c r="B216" s="44">
        <f t="shared" si="58"/>
        <v>120.1</v>
      </c>
      <c r="C216" s="44">
        <f t="shared" si="58"/>
        <v>128.69999999999999</v>
      </c>
      <c r="D216" s="44">
        <f t="shared" si="58"/>
        <v>116.39999999999999</v>
      </c>
      <c r="E216" s="28">
        <f t="shared" si="59"/>
        <v>365.2</v>
      </c>
      <c r="F216" s="28">
        <f t="shared" si="60"/>
        <v>121.73333333333333</v>
      </c>
      <c r="N216" s="25" t="s">
        <v>41</v>
      </c>
      <c r="O216" s="25" t="s">
        <v>37</v>
      </c>
      <c r="P216" s="33">
        <f>SQRT((2*J209)/(3*2))*L210</f>
        <v>5.3744192329861971</v>
      </c>
      <c r="Q216" s="31"/>
    </row>
    <row r="217" spans="1:18" x14ac:dyDescent="0.25">
      <c r="A217" s="27" t="s">
        <v>56</v>
      </c>
      <c r="B217" s="44">
        <f t="shared" si="58"/>
        <v>103.7</v>
      </c>
      <c r="C217" s="44">
        <f t="shared" si="58"/>
        <v>101.3</v>
      </c>
      <c r="D217" s="44">
        <f t="shared" si="58"/>
        <v>102.5</v>
      </c>
      <c r="E217" s="28">
        <f t="shared" si="59"/>
        <v>307.5</v>
      </c>
      <c r="F217" s="28">
        <f>E217/3</f>
        <v>102.5</v>
      </c>
      <c r="Q217" s="31"/>
    </row>
    <row r="218" spans="1:18" x14ac:dyDescent="0.25">
      <c r="A218" s="27" t="s">
        <v>57</v>
      </c>
      <c r="B218" s="44">
        <f t="shared" si="58"/>
        <v>104.3</v>
      </c>
      <c r="C218" s="44">
        <f t="shared" si="58"/>
        <v>113.5</v>
      </c>
      <c r="D218" s="44">
        <f t="shared" si="58"/>
        <v>112.39999999999999</v>
      </c>
      <c r="E218" s="28">
        <f t="shared" si="59"/>
        <v>330.2</v>
      </c>
      <c r="F218" s="28">
        <f t="shared" ref="F218:F219" si="66">E218/3</f>
        <v>110.06666666666666</v>
      </c>
    </row>
    <row r="219" spans="1:18" x14ac:dyDescent="0.25">
      <c r="A219" s="27" t="s">
        <v>58</v>
      </c>
      <c r="B219" s="44">
        <f t="shared" ref="B219:D219" si="67">(B155+B187)</f>
        <v>102.1</v>
      </c>
      <c r="C219" s="44">
        <f t="shared" si="67"/>
        <v>98.4</v>
      </c>
      <c r="D219" s="44">
        <f t="shared" si="67"/>
        <v>85.9</v>
      </c>
      <c r="E219" s="28">
        <f t="shared" si="59"/>
        <v>286.39999999999998</v>
      </c>
      <c r="F219" s="28">
        <f t="shared" si="66"/>
        <v>95.466666666666654</v>
      </c>
    </row>
    <row r="220" spans="1:18" x14ac:dyDescent="0.25">
      <c r="A220" s="25" t="s">
        <v>20</v>
      </c>
      <c r="B220" s="28">
        <f>SUM(B202:B219)</f>
        <v>1864.4099999999999</v>
      </c>
      <c r="C220" s="28">
        <f t="shared" ref="C220:D220" si="68">SUM(C202:C219)</f>
        <v>1869.6</v>
      </c>
      <c r="D220" s="28">
        <f t="shared" si="68"/>
        <v>1851.1600000000003</v>
      </c>
      <c r="E220" s="28">
        <f>SUM(E202:E219)</f>
        <v>5585.1699999999992</v>
      </c>
      <c r="F220" s="28">
        <f>AVERAGE(B202:D219)</f>
        <v>103.42907407407405</v>
      </c>
    </row>
    <row r="221" spans="1:18" x14ac:dyDescent="0.25">
      <c r="A221" s="25" t="s">
        <v>11</v>
      </c>
      <c r="B221" s="28">
        <f>B220/18</f>
        <v>103.57833333333332</v>
      </c>
      <c r="C221" s="28">
        <f>C220/18</f>
        <v>103.86666666666666</v>
      </c>
      <c r="D221" s="28">
        <f>D220/18</f>
        <v>102.84222222222223</v>
      </c>
    </row>
    <row r="222" spans="1:18" x14ac:dyDescent="0.25">
      <c r="A222" s="25" t="s">
        <v>59</v>
      </c>
      <c r="B222" s="28">
        <f>(E220*E220)/54</f>
        <v>577668.9616462962</v>
      </c>
      <c r="C222" s="28"/>
      <c r="D222" s="28"/>
    </row>
    <row r="223" spans="1:18" x14ac:dyDescent="0.25">
      <c r="A223" s="25" t="s">
        <v>60</v>
      </c>
      <c r="B223" s="28">
        <f>SUMSQ(B202:D219)-B222</f>
        <v>15809.432053704048</v>
      </c>
      <c r="C223" s="25" t="s">
        <v>61</v>
      </c>
      <c r="D223" s="28">
        <f>(SUMSQ(B220:D220)/18)-B222</f>
        <v>10.046892592683434</v>
      </c>
    </row>
    <row r="224" spans="1:18" x14ac:dyDescent="0.25">
      <c r="A224" s="25" t="s">
        <v>62</v>
      </c>
      <c r="B224" s="28">
        <f>(SUMSQ(E202:E219)/3)-B222</f>
        <v>15086.020920370589</v>
      </c>
      <c r="C224" s="25" t="s">
        <v>63</v>
      </c>
      <c r="D224" s="28">
        <f>B223-B224-D223</f>
        <v>713.36424074077513</v>
      </c>
    </row>
    <row r="228" spans="1:18" ht="15.75" x14ac:dyDescent="0.25">
      <c r="C228" s="18" t="s">
        <v>66</v>
      </c>
    </row>
    <row r="230" spans="1:18" x14ac:dyDescent="0.25">
      <c r="A230" s="19" t="s">
        <v>13</v>
      </c>
      <c r="B230" s="20">
        <v>2</v>
      </c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2"/>
      <c r="N230" s="22"/>
      <c r="O230" s="21"/>
      <c r="P230" s="21"/>
    </row>
    <row r="231" spans="1:18" x14ac:dyDescent="0.25">
      <c r="A231" s="19" t="s">
        <v>14</v>
      </c>
      <c r="B231" s="20">
        <v>9</v>
      </c>
      <c r="C231" s="21" t="s">
        <v>15</v>
      </c>
      <c r="D231" s="21">
        <v>18</v>
      </c>
      <c r="E231" s="21"/>
      <c r="F231" s="21"/>
      <c r="G231" s="21"/>
      <c r="H231" s="21"/>
      <c r="I231" s="21"/>
      <c r="J231" s="21"/>
      <c r="K231" s="21"/>
      <c r="L231" s="21"/>
      <c r="M231" s="22"/>
      <c r="N231" s="22"/>
      <c r="O231" s="21"/>
      <c r="P231" s="21"/>
    </row>
    <row r="232" spans="1:18" x14ac:dyDescent="0.25">
      <c r="A232" s="15" t="s">
        <v>16</v>
      </c>
      <c r="B232" s="23">
        <v>3</v>
      </c>
    </row>
    <row r="233" spans="1:18" x14ac:dyDescent="0.25">
      <c r="A233" s="24" t="s">
        <v>0</v>
      </c>
      <c r="B233" s="25" t="s">
        <v>17</v>
      </c>
      <c r="C233" s="25" t="s">
        <v>18</v>
      </c>
      <c r="D233" s="25" t="s">
        <v>19</v>
      </c>
      <c r="E233" s="25" t="s">
        <v>20</v>
      </c>
      <c r="F233" s="25" t="s">
        <v>11</v>
      </c>
      <c r="O233" s="16" t="s">
        <v>21</v>
      </c>
      <c r="R233" s="16"/>
    </row>
    <row r="234" spans="1:18" x14ac:dyDescent="0.25">
      <c r="A234" s="27" t="s">
        <v>22</v>
      </c>
      <c r="B234" s="45">
        <f>(B138/B202)*100</f>
        <v>40.334855403348548</v>
      </c>
      <c r="C234" s="45">
        <f t="shared" ref="C234:D234" si="69">(C138/C202)*100</f>
        <v>36.152570480928695</v>
      </c>
      <c r="D234" s="45">
        <f t="shared" si="69"/>
        <v>35.827250608272507</v>
      </c>
      <c r="E234" s="28">
        <f>SUM(B234:D234)</f>
        <v>112.31467649254975</v>
      </c>
      <c r="F234" s="28">
        <f>E234/3</f>
        <v>37.438225497516584</v>
      </c>
      <c r="H234" s="29"/>
      <c r="I234" s="29"/>
      <c r="J234" s="29" t="s">
        <v>23</v>
      </c>
      <c r="K234" s="29"/>
      <c r="L234" s="29"/>
      <c r="M234" s="29"/>
      <c r="N234" s="29"/>
      <c r="O234" s="30">
        <v>1</v>
      </c>
      <c r="P234" s="33">
        <f>SUM(F234:F242)/9</f>
        <v>39.126770196496807</v>
      </c>
      <c r="Q234" s="31">
        <f>RANK(P234,P$234:P$235,0)</f>
        <v>1</v>
      </c>
      <c r="R234" s="16"/>
    </row>
    <row r="235" spans="1:18" x14ac:dyDescent="0.25">
      <c r="A235" s="27" t="s">
        <v>24</v>
      </c>
      <c r="B235" s="45">
        <f t="shared" ref="B235:D250" si="70">(B139/B203)*100</f>
        <v>37.654673519893393</v>
      </c>
      <c r="C235" s="45">
        <f t="shared" si="70"/>
        <v>40.482822655524608</v>
      </c>
      <c r="D235" s="45">
        <f t="shared" si="70"/>
        <v>40.090090090090094</v>
      </c>
      <c r="E235" s="28">
        <f t="shared" ref="E235:E251" si="71">SUM(B235:D235)</f>
        <v>118.22758626550808</v>
      </c>
      <c r="F235" s="28">
        <f t="shared" ref="F235:F248" si="72">E235/3</f>
        <v>39.409195421836024</v>
      </c>
      <c r="G235" s="28"/>
      <c r="H235" s="25" t="s">
        <v>25</v>
      </c>
      <c r="I235" s="25" t="s">
        <v>26</v>
      </c>
      <c r="J235" s="25" t="s">
        <v>27</v>
      </c>
      <c r="K235" s="25" t="s">
        <v>28</v>
      </c>
      <c r="L235" s="25" t="s">
        <v>29</v>
      </c>
      <c r="M235" s="25" t="s">
        <v>30</v>
      </c>
      <c r="N235" s="32"/>
      <c r="O235" s="30">
        <v>2</v>
      </c>
      <c r="P235" s="33">
        <f>SUM(F243:F251)/9</f>
        <v>38.86218704447878</v>
      </c>
      <c r="Q235" s="31">
        <f>RANK(P235,P$234:P$235,0)</f>
        <v>2</v>
      </c>
      <c r="R235" s="16"/>
    </row>
    <row r="236" spans="1:18" x14ac:dyDescent="0.25">
      <c r="A236" s="27" t="s">
        <v>31</v>
      </c>
      <c r="B236" s="45">
        <f t="shared" si="70"/>
        <v>41.701769165964613</v>
      </c>
      <c r="C236" s="45">
        <f t="shared" si="70"/>
        <v>40.365448504983384</v>
      </c>
      <c r="D236" s="45">
        <f t="shared" si="70"/>
        <v>38.65336658354115</v>
      </c>
      <c r="E236" s="28">
        <f t="shared" si="71"/>
        <v>120.72058425448915</v>
      </c>
      <c r="F236" s="28">
        <f t="shared" si="72"/>
        <v>40.240194751496382</v>
      </c>
      <c r="G236" s="28" t="s">
        <v>32</v>
      </c>
      <c r="H236" s="28">
        <f>B232-1</f>
        <v>2</v>
      </c>
      <c r="I236" s="28">
        <f>D255</f>
        <v>0.7035361759189982</v>
      </c>
      <c r="J236" s="28">
        <f>I236/H236</f>
        <v>0.3517680879594991</v>
      </c>
      <c r="K236" s="28">
        <f>J236/$J$16</f>
        <v>6.6700824673613268E-2</v>
      </c>
      <c r="L236" s="28">
        <f>FINV(0.05,H236,$H$16)</f>
        <v>3.275897990672394</v>
      </c>
      <c r="M236" s="28" t="str">
        <f>IF(K236&gt;=L236, "S", "NS")</f>
        <v>NS</v>
      </c>
      <c r="N236" s="21"/>
      <c r="O236" s="25" t="s">
        <v>33</v>
      </c>
      <c r="P236" s="33">
        <f>SQRT(J241/(3*9))</f>
        <v>0.35772937240216951</v>
      </c>
      <c r="R236" s="16"/>
    </row>
    <row r="237" spans="1:18" x14ac:dyDescent="0.25">
      <c r="A237" s="27" t="s">
        <v>34</v>
      </c>
      <c r="B237" s="45">
        <f t="shared" si="70"/>
        <v>39.014778325123153</v>
      </c>
      <c r="C237" s="45">
        <f t="shared" si="70"/>
        <v>38.977955911823642</v>
      </c>
      <c r="D237" s="45">
        <f t="shared" si="70"/>
        <v>36.544190665342597</v>
      </c>
      <c r="E237" s="28">
        <f t="shared" si="71"/>
        <v>114.5369249022894</v>
      </c>
      <c r="F237" s="28">
        <f t="shared" si="72"/>
        <v>38.178974967429802</v>
      </c>
      <c r="G237" s="28" t="s">
        <v>35</v>
      </c>
      <c r="H237" s="28">
        <f>D231-1</f>
        <v>17</v>
      </c>
      <c r="I237" s="28">
        <f>B256</f>
        <v>82.806817122545908</v>
      </c>
      <c r="J237" s="28">
        <f t="shared" ref="J237:J241" si="73">I237/H237</f>
        <v>4.8709892425027004</v>
      </c>
      <c r="K237" s="28">
        <f>J237/$J$16</f>
        <v>0.9236170379634786</v>
      </c>
      <c r="L237" s="28">
        <f>FINV(0.05,H237,$H$16)</f>
        <v>1.9332068318040869</v>
      </c>
      <c r="M237" s="34" t="str">
        <f t="shared" ref="M237" si="74">IF(K237&gt;=L237, "S", "NS")</f>
        <v>NS</v>
      </c>
      <c r="N237" s="25" t="s">
        <v>36</v>
      </c>
      <c r="O237" s="25" t="s">
        <v>37</v>
      </c>
      <c r="P237" s="33">
        <f>SQRT((2*J241)/(3*9))*L242</f>
        <v>1.0281241422491585</v>
      </c>
      <c r="R237" s="16"/>
    </row>
    <row r="238" spans="1:18" x14ac:dyDescent="0.25">
      <c r="A238" s="27" t="s">
        <v>38</v>
      </c>
      <c r="B238" s="45">
        <f t="shared" si="70"/>
        <v>39.84575835475578</v>
      </c>
      <c r="C238" s="45">
        <f t="shared" si="70"/>
        <v>41.511035653650247</v>
      </c>
      <c r="D238" s="45">
        <f t="shared" si="70"/>
        <v>40.211640211640209</v>
      </c>
      <c r="E238" s="28">
        <f t="shared" si="71"/>
        <v>121.56843422004624</v>
      </c>
      <c r="F238" s="28">
        <f t="shared" si="72"/>
        <v>40.522811406682081</v>
      </c>
      <c r="G238" s="28" t="s">
        <v>39</v>
      </c>
      <c r="H238" s="28">
        <f>B230-1</f>
        <v>1</v>
      </c>
      <c r="I238" s="28">
        <f>(SUM(E234:E242)^2+SUM(E243:E251)^2)/27-B254</f>
        <v>0.94505729847878683</v>
      </c>
      <c r="J238" s="28">
        <f t="shared" si="73"/>
        <v>0.94505729847878683</v>
      </c>
      <c r="K238" s="28">
        <f>J238/$J$16</f>
        <v>0.17919789580119572</v>
      </c>
      <c r="L238" s="28">
        <f>FINV(0.05,H238,$H$16)</f>
        <v>4.1300177456520188</v>
      </c>
      <c r="M238" s="28" t="str">
        <f>IF(K238&gt;=L238, "S", "NS")</f>
        <v>NS</v>
      </c>
      <c r="N238" s="21"/>
      <c r="O238" s="30">
        <v>1</v>
      </c>
      <c r="P238" s="33">
        <f>(F234+F243)/2</f>
        <v>37.722809194920416</v>
      </c>
      <c r="Q238" s="31">
        <f>RANK(P238,P$238:P$246,0)</f>
        <v>9</v>
      </c>
      <c r="R238" s="35">
        <v>9</v>
      </c>
    </row>
    <row r="239" spans="1:18" x14ac:dyDescent="0.25">
      <c r="A239" s="27" t="s">
        <v>40</v>
      </c>
      <c r="B239" s="45">
        <f t="shared" si="70"/>
        <v>42.046362909672261</v>
      </c>
      <c r="C239" s="45">
        <f t="shared" si="70"/>
        <v>39.905734485467399</v>
      </c>
      <c r="D239" s="45">
        <f t="shared" si="70"/>
        <v>41.196293176074136</v>
      </c>
      <c r="E239" s="28">
        <f t="shared" si="71"/>
        <v>123.1483905712138</v>
      </c>
      <c r="F239" s="28">
        <f t="shared" si="72"/>
        <v>41.049463523737934</v>
      </c>
      <c r="G239" s="28" t="s">
        <v>41</v>
      </c>
      <c r="H239" s="28">
        <f>B231-1</f>
        <v>8</v>
      </c>
      <c r="I239" s="28">
        <f>((E234+E243)^2+(E235+E244)^2+(E236+E245)^2+(E237+E246)^2+(E238+E247)^2+(E239+E248)^2+(E240+E249)^2+(E241+E250)^2+(E242+E251)^2/6)-B254</f>
        <v>368010.27435645496</v>
      </c>
      <c r="J239" s="28">
        <f t="shared" si="73"/>
        <v>46001.28429455687</v>
      </c>
      <c r="K239" s="28">
        <f>J239/$J$16</f>
        <v>8722.5751951824295</v>
      </c>
      <c r="L239" s="28">
        <f>FINV(0.05,H239,$H$16)</f>
        <v>2.2253399674380931</v>
      </c>
      <c r="M239" s="28" t="str">
        <f>IF(K239&gt;=L239, "S", "NS")</f>
        <v>S</v>
      </c>
      <c r="N239" s="21"/>
      <c r="O239" s="30">
        <v>2</v>
      </c>
      <c r="P239" s="33">
        <f t="shared" ref="P239:P246" si="75">(F235+F244)/2</f>
        <v>38.471239485969996</v>
      </c>
      <c r="Q239" s="31">
        <f t="shared" ref="Q239:Q246" si="76">RANK(P239,P$238:P$246,0)</f>
        <v>5</v>
      </c>
      <c r="R239" s="37">
        <v>5</v>
      </c>
    </row>
    <row r="240" spans="1:18" x14ac:dyDescent="0.25">
      <c r="A240" s="27" t="s">
        <v>42</v>
      </c>
      <c r="B240" s="45">
        <f t="shared" si="70"/>
        <v>37.904761904761905</v>
      </c>
      <c r="C240" s="45">
        <f t="shared" si="70"/>
        <v>38.665358194308141</v>
      </c>
      <c r="D240" s="45">
        <f t="shared" si="70"/>
        <v>38.490566037735846</v>
      </c>
      <c r="E240" s="28">
        <f t="shared" si="71"/>
        <v>115.06068613680588</v>
      </c>
      <c r="F240" s="28">
        <f t="shared" si="72"/>
        <v>38.353562045601961</v>
      </c>
      <c r="G240" s="38" t="s">
        <v>43</v>
      </c>
      <c r="H240" s="28">
        <f>H238*H239</f>
        <v>8</v>
      </c>
      <c r="I240" s="28">
        <f>I237-(I238+I239)</f>
        <v>-367928.41259663086</v>
      </c>
      <c r="J240" s="28">
        <f t="shared" si="73"/>
        <v>-45991.051574578858</v>
      </c>
      <c r="K240" s="39">
        <f>J240/$J$16</f>
        <v>-8720.6349087137314</v>
      </c>
      <c r="L240" s="28">
        <f>FINV(0.05,H240,$H$16)</f>
        <v>2.2253399674380931</v>
      </c>
      <c r="M240" s="28" t="str">
        <f t="shared" ref="M240" si="77">IF(K240&gt;=L240, "S", "NS")</f>
        <v>NS</v>
      </c>
      <c r="N240" s="21"/>
      <c r="O240" s="30">
        <v>3</v>
      </c>
      <c r="P240" s="33">
        <f t="shared" si="75"/>
        <v>40.74815260885547</v>
      </c>
      <c r="Q240" s="31">
        <f t="shared" si="76"/>
        <v>2</v>
      </c>
      <c r="R240" s="37">
        <v>2</v>
      </c>
    </row>
    <row r="241" spans="1:18" x14ac:dyDescent="0.25">
      <c r="A241" s="27" t="s">
        <v>44</v>
      </c>
      <c r="B241" s="45">
        <f t="shared" si="70"/>
        <v>38.648180242634318</v>
      </c>
      <c r="C241" s="45">
        <f t="shared" si="70"/>
        <v>41.049671977507032</v>
      </c>
      <c r="D241" s="45">
        <f t="shared" si="70"/>
        <v>38.351254480286741</v>
      </c>
      <c r="E241" s="28">
        <f t="shared" si="71"/>
        <v>118.0491067004281</v>
      </c>
      <c r="F241" s="28">
        <f t="shared" si="72"/>
        <v>39.34970223347603</v>
      </c>
      <c r="G241" s="40" t="s">
        <v>45</v>
      </c>
      <c r="H241" s="28">
        <f>((B232-1)*(B230*B231-1))</f>
        <v>34</v>
      </c>
      <c r="I241" s="28">
        <f>D256</f>
        <v>117.47673896115157</v>
      </c>
      <c r="J241" s="28">
        <f t="shared" si="73"/>
        <v>3.455198204739752</v>
      </c>
      <c r="O241" s="30">
        <v>4</v>
      </c>
      <c r="P241" s="33">
        <f t="shared" si="75"/>
        <v>38.06450767683863</v>
      </c>
      <c r="Q241" s="31">
        <f t="shared" si="76"/>
        <v>7</v>
      </c>
      <c r="R241" s="37">
        <v>7</v>
      </c>
    </row>
    <row r="242" spans="1:18" x14ac:dyDescent="0.25">
      <c r="A242" s="27" t="s">
        <v>46</v>
      </c>
      <c r="B242" s="45">
        <f t="shared" si="70"/>
        <v>39.658634538152612</v>
      </c>
      <c r="C242" s="45">
        <f t="shared" si="70"/>
        <v>36.435643564356432</v>
      </c>
      <c r="D242" s="45">
        <f t="shared" si="70"/>
        <v>36.702127659574465</v>
      </c>
      <c r="E242" s="28">
        <f t="shared" si="71"/>
        <v>112.79640576208351</v>
      </c>
      <c r="F242" s="28">
        <f t="shared" si="72"/>
        <v>37.598801920694505</v>
      </c>
      <c r="G242" s="39" t="s">
        <v>20</v>
      </c>
      <c r="H242" s="28">
        <f>SUM(H236:H241)-H237</f>
        <v>53</v>
      </c>
      <c r="I242" s="28">
        <f>B255</f>
        <v>200.98709225961647</v>
      </c>
      <c r="K242" s="28" t="s">
        <v>47</v>
      </c>
      <c r="L242" s="16">
        <f>TINV(0.05,34)</f>
        <v>2.0322445093177191</v>
      </c>
      <c r="O242" s="30">
        <v>5</v>
      </c>
      <c r="P242" s="33">
        <f t="shared" si="75"/>
        <v>39.592981601147443</v>
      </c>
      <c r="Q242" s="31">
        <f t="shared" si="76"/>
        <v>3</v>
      </c>
      <c r="R242" s="35">
        <v>3</v>
      </c>
    </row>
    <row r="243" spans="1:18" x14ac:dyDescent="0.25">
      <c r="A243" s="27" t="s">
        <v>48</v>
      </c>
      <c r="B243" s="45">
        <f t="shared" si="70"/>
        <v>35.512367491166081</v>
      </c>
      <c r="C243" s="45">
        <f t="shared" si="70"/>
        <v>38.89845094664372</v>
      </c>
      <c r="D243" s="45">
        <f t="shared" si="70"/>
        <v>39.611360239162927</v>
      </c>
      <c r="E243" s="28">
        <f t="shared" si="71"/>
        <v>114.02217867697274</v>
      </c>
      <c r="F243" s="28">
        <f t="shared" si="72"/>
        <v>38.007392892324248</v>
      </c>
      <c r="G243" s="42" t="s">
        <v>33</v>
      </c>
      <c r="H243" s="28">
        <f>SQRT(J241/3)</f>
        <v>1.0731881172065085</v>
      </c>
      <c r="O243" s="30">
        <v>6</v>
      </c>
      <c r="P243" s="33">
        <f t="shared" si="75"/>
        <v>40.888933154122583</v>
      </c>
      <c r="Q243" s="31">
        <f t="shared" si="76"/>
        <v>1</v>
      </c>
      <c r="R243" s="37">
        <v>1</v>
      </c>
    </row>
    <row r="244" spans="1:18" x14ac:dyDescent="0.25">
      <c r="A244" s="27" t="s">
        <v>49</v>
      </c>
      <c r="B244" s="45">
        <f t="shared" si="70"/>
        <v>38.491295938104443</v>
      </c>
      <c r="C244" s="45">
        <f t="shared" si="70"/>
        <v>35.383064516129039</v>
      </c>
      <c r="D244" s="45">
        <f t="shared" si="70"/>
        <v>38.725490196078432</v>
      </c>
      <c r="E244" s="28">
        <f t="shared" si="71"/>
        <v>112.59985065031191</v>
      </c>
      <c r="F244" s="28">
        <f t="shared" si="72"/>
        <v>37.533283550103967</v>
      </c>
      <c r="G244" s="42" t="s">
        <v>37</v>
      </c>
      <c r="H244" s="28">
        <f>(SQRT((2*J241)/3))*L242</f>
        <v>3.0843724267474752</v>
      </c>
      <c r="O244" s="30">
        <v>7</v>
      </c>
      <c r="P244" s="33">
        <f t="shared" si="75"/>
        <v>38.340265132670183</v>
      </c>
      <c r="Q244" s="31">
        <f t="shared" si="76"/>
        <v>6</v>
      </c>
      <c r="R244" s="37">
        <v>6</v>
      </c>
    </row>
    <row r="245" spans="1:18" x14ac:dyDescent="0.25">
      <c r="A245" s="27" t="s">
        <v>50</v>
      </c>
      <c r="B245" s="45">
        <f t="shared" si="70"/>
        <v>40.6392694063927</v>
      </c>
      <c r="C245" s="45">
        <f t="shared" si="70"/>
        <v>44.196428571428569</v>
      </c>
      <c r="D245" s="45">
        <f t="shared" si="70"/>
        <v>38.932633420822398</v>
      </c>
      <c r="E245" s="28">
        <f t="shared" si="71"/>
        <v>123.76833139864367</v>
      </c>
      <c r="F245" s="28">
        <f t="shared" si="72"/>
        <v>41.256110466214558</v>
      </c>
      <c r="G245" s="42" t="s">
        <v>51</v>
      </c>
      <c r="H245" s="28">
        <f>((SQRT(J241))/F252)*100</f>
        <v>4.7668706207658573</v>
      </c>
      <c r="O245" s="30">
        <v>8</v>
      </c>
      <c r="P245" s="33">
        <f t="shared" si="75"/>
        <v>39.278951240270047</v>
      </c>
      <c r="Q245" s="31">
        <f t="shared" si="76"/>
        <v>4</v>
      </c>
      <c r="R245" s="35">
        <v>4</v>
      </c>
    </row>
    <row r="246" spans="1:18" x14ac:dyDescent="0.25">
      <c r="A246" s="27" t="s">
        <v>52</v>
      </c>
      <c r="B246" s="45">
        <f t="shared" si="70"/>
        <v>38.438438438438432</v>
      </c>
      <c r="C246" s="45">
        <f t="shared" si="70"/>
        <v>39.252336448598129</v>
      </c>
      <c r="D246" s="45">
        <f t="shared" si="70"/>
        <v>36.159346271705815</v>
      </c>
      <c r="E246" s="28">
        <f t="shared" si="71"/>
        <v>113.85012115874237</v>
      </c>
      <c r="F246" s="28">
        <f t="shared" si="72"/>
        <v>37.950040386247458</v>
      </c>
      <c r="O246" s="30">
        <v>9</v>
      </c>
      <c r="P246" s="33">
        <f t="shared" si="75"/>
        <v>37.842467489595393</v>
      </c>
      <c r="Q246" s="31">
        <f t="shared" si="76"/>
        <v>8</v>
      </c>
      <c r="R246" s="37">
        <v>8</v>
      </c>
    </row>
    <row r="247" spans="1:18" x14ac:dyDescent="0.25">
      <c r="A247" s="27" t="s">
        <v>53</v>
      </c>
      <c r="B247" s="45">
        <f t="shared" si="70"/>
        <v>37.091988130563806</v>
      </c>
      <c r="C247" s="45">
        <f t="shared" si="70"/>
        <v>39.848993288590599</v>
      </c>
      <c r="D247" s="45">
        <f t="shared" si="70"/>
        <v>39.048473967684025</v>
      </c>
      <c r="E247" s="28">
        <f t="shared" si="71"/>
        <v>115.98945538683844</v>
      </c>
      <c r="F247" s="28">
        <f t="shared" si="72"/>
        <v>38.663151795612812</v>
      </c>
      <c r="O247" s="25" t="s">
        <v>33</v>
      </c>
      <c r="P247" s="33">
        <f>SQRT(J241/(3*2))</f>
        <v>0.75885859516554555</v>
      </c>
      <c r="Q247" s="31"/>
    </row>
    <row r="248" spans="1:18" x14ac:dyDescent="0.25">
      <c r="A248" s="27" t="s">
        <v>55</v>
      </c>
      <c r="B248" s="45">
        <f t="shared" si="70"/>
        <v>39.550374687760204</v>
      </c>
      <c r="C248" s="45">
        <f t="shared" si="70"/>
        <v>41.56954156954157</v>
      </c>
      <c r="D248" s="45">
        <f t="shared" si="70"/>
        <v>41.065292096219927</v>
      </c>
      <c r="E248" s="28">
        <f t="shared" si="71"/>
        <v>122.18520835352172</v>
      </c>
      <c r="F248" s="28">
        <f t="shared" si="72"/>
        <v>40.728402784507239</v>
      </c>
      <c r="N248" s="25" t="s">
        <v>41</v>
      </c>
      <c r="O248" s="25" t="s">
        <v>37</v>
      </c>
      <c r="P248" s="33">
        <f>SQRT((2*J241)/(3*2))*L242</f>
        <v>2.1809806586579477</v>
      </c>
      <c r="Q248" s="31"/>
    </row>
    <row r="249" spans="1:18" x14ac:dyDescent="0.25">
      <c r="A249" s="27" t="s">
        <v>56</v>
      </c>
      <c r="B249" s="45">
        <f t="shared" si="70"/>
        <v>39.054966248794599</v>
      </c>
      <c r="C249" s="45">
        <f t="shared" si="70"/>
        <v>35.340572556762091</v>
      </c>
      <c r="D249" s="45">
        <f t="shared" si="70"/>
        <v>40.585365853658537</v>
      </c>
      <c r="E249" s="28">
        <f t="shared" si="71"/>
        <v>114.98090465921524</v>
      </c>
      <c r="F249" s="28">
        <f>E249/3</f>
        <v>38.326968219738411</v>
      </c>
      <c r="Q249" s="31"/>
    </row>
    <row r="250" spans="1:18" x14ac:dyDescent="0.25">
      <c r="A250" s="27" t="s">
        <v>57</v>
      </c>
      <c r="B250" s="45">
        <f t="shared" si="70"/>
        <v>39.789069990412273</v>
      </c>
      <c r="C250" s="45">
        <f t="shared" si="70"/>
        <v>37.533039647577091</v>
      </c>
      <c r="D250" s="45">
        <f t="shared" si="70"/>
        <v>40.302491103202847</v>
      </c>
      <c r="E250" s="28">
        <f t="shared" si="71"/>
        <v>117.62460074119221</v>
      </c>
      <c r="F250" s="28">
        <f t="shared" ref="F250:F251" si="78">E250/3</f>
        <v>39.20820024706407</v>
      </c>
    </row>
    <row r="251" spans="1:18" x14ac:dyDescent="0.25">
      <c r="A251" s="27" t="s">
        <v>58</v>
      </c>
      <c r="B251" s="45">
        <f t="shared" ref="B251:D251" si="79">(B155/B219)*100</f>
        <v>34.867776689520078</v>
      </c>
      <c r="C251" s="45">
        <f t="shared" si="79"/>
        <v>39.227642276422763</v>
      </c>
      <c r="D251" s="45">
        <f t="shared" si="79"/>
        <v>40.162980209545978</v>
      </c>
      <c r="E251" s="28">
        <f t="shared" si="71"/>
        <v>114.25839917548882</v>
      </c>
      <c r="F251" s="28">
        <f t="shared" si="78"/>
        <v>38.086133058496273</v>
      </c>
    </row>
    <row r="252" spans="1:18" x14ac:dyDescent="0.25">
      <c r="A252" s="25" t="s">
        <v>20</v>
      </c>
      <c r="B252" s="28">
        <f>SUM(B234:B251)</f>
        <v>700.24532138545908</v>
      </c>
      <c r="C252" s="28">
        <f t="shared" ref="C252:D252" si="80">SUM(C234:C251)</f>
        <v>704.79631125024321</v>
      </c>
      <c r="D252" s="28">
        <f t="shared" si="80"/>
        <v>700.6602128706387</v>
      </c>
      <c r="E252" s="28">
        <f>SUM(E234:E251)</f>
        <v>2105.7018455063408</v>
      </c>
      <c r="F252" s="28">
        <f>AVERAGE(B234:D251)</f>
        <v>38.994478620487797</v>
      </c>
    </row>
    <row r="253" spans="1:18" x14ac:dyDescent="0.25">
      <c r="A253" s="25" t="s">
        <v>11</v>
      </c>
      <c r="B253" s="28">
        <f>B252/18</f>
        <v>38.902517854747728</v>
      </c>
      <c r="C253" s="28">
        <f>C252/18</f>
        <v>39.155350625013511</v>
      </c>
      <c r="D253" s="28">
        <f>D252/18</f>
        <v>38.925567381702152</v>
      </c>
    </row>
    <row r="254" spans="1:18" x14ac:dyDescent="0.25">
      <c r="A254" s="25" t="s">
        <v>59</v>
      </c>
      <c r="B254" s="28">
        <f>(E252*E252)/54</f>
        <v>82110.745595718705</v>
      </c>
      <c r="C254" s="28"/>
      <c r="D254" s="28"/>
    </row>
    <row r="255" spans="1:18" x14ac:dyDescent="0.25">
      <c r="A255" s="25" t="s">
        <v>60</v>
      </c>
      <c r="B255" s="28">
        <f>SUMSQ(B234:D251)-B254</f>
        <v>200.98709225961647</v>
      </c>
      <c r="C255" s="25" t="s">
        <v>61</v>
      </c>
      <c r="D255" s="28">
        <f>(SUMSQ(B252:D252)/18)-B254</f>
        <v>0.7035361759189982</v>
      </c>
    </row>
    <row r="256" spans="1:18" x14ac:dyDescent="0.25">
      <c r="A256" s="25" t="s">
        <v>62</v>
      </c>
      <c r="B256" s="28">
        <f>(SUMSQ(E234:E251)/3)-B254</f>
        <v>82.806817122545908</v>
      </c>
      <c r="C256" s="25" t="s">
        <v>63</v>
      </c>
      <c r="D256" s="28">
        <f>B255-B256-D255</f>
        <v>117.47673896115157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workbookViewId="0">
      <selection activeCell="P16" sqref="P16"/>
    </sheetView>
  </sheetViews>
  <sheetFormatPr defaultRowHeight="15" x14ac:dyDescent="0.25"/>
  <cols>
    <col min="2" max="2" width="12" bestFit="1" customWidth="1"/>
    <col min="4" max="4" width="9.5703125" bestFit="1" customWidth="1"/>
    <col min="7" max="7" width="13.5703125" customWidth="1"/>
    <col min="10" max="10" width="9.5703125" bestFit="1" customWidth="1"/>
  </cols>
  <sheetData>
    <row r="2" spans="2:12" ht="26.25" x14ac:dyDescent="0.4">
      <c r="D2" s="5">
        <v>2019</v>
      </c>
      <c r="J2" s="5">
        <v>2020</v>
      </c>
    </row>
    <row r="3" spans="2:12" ht="15.75" thickBot="1" x14ac:dyDescent="0.3"/>
    <row r="4" spans="2:12" ht="30" customHeight="1" thickBot="1" x14ac:dyDescent="0.3">
      <c r="B4" s="74" t="s">
        <v>0</v>
      </c>
      <c r="C4" s="77" t="s">
        <v>1</v>
      </c>
      <c r="D4" s="78"/>
      <c r="E4" s="78"/>
      <c r="F4" s="79"/>
      <c r="G4" s="74" t="s">
        <v>2</v>
      </c>
      <c r="H4" s="77" t="s">
        <v>1</v>
      </c>
      <c r="I4" s="78"/>
      <c r="J4" s="78"/>
      <c r="K4" s="79"/>
      <c r="L4" s="74" t="s">
        <v>2</v>
      </c>
    </row>
    <row r="5" spans="2:12" ht="16.5" thickBot="1" x14ac:dyDescent="0.3">
      <c r="B5" s="75"/>
      <c r="C5" s="77" t="s">
        <v>3</v>
      </c>
      <c r="D5" s="78"/>
      <c r="E5" s="78"/>
      <c r="F5" s="79"/>
      <c r="G5" s="75"/>
      <c r="H5" s="77" t="s">
        <v>3</v>
      </c>
      <c r="I5" s="78"/>
      <c r="J5" s="78"/>
      <c r="K5" s="79"/>
      <c r="L5" s="75"/>
    </row>
    <row r="6" spans="2:12" ht="16.5" thickBot="1" x14ac:dyDescent="0.3">
      <c r="B6" s="76"/>
      <c r="C6" s="1" t="s">
        <v>4</v>
      </c>
      <c r="D6" s="1" t="s">
        <v>5</v>
      </c>
      <c r="E6" s="1" t="s">
        <v>6</v>
      </c>
      <c r="F6" s="1" t="s">
        <v>7</v>
      </c>
      <c r="G6" s="76"/>
      <c r="H6" s="11" t="s">
        <v>4</v>
      </c>
      <c r="I6" s="11" t="s">
        <v>5</v>
      </c>
      <c r="J6" s="11" t="s">
        <v>6</v>
      </c>
      <c r="K6" s="11" t="s">
        <v>7</v>
      </c>
      <c r="L6" s="76"/>
    </row>
    <row r="7" spans="2:12" ht="19.5" thickBot="1" x14ac:dyDescent="0.3">
      <c r="B7" s="2" t="s">
        <v>8</v>
      </c>
      <c r="C7" s="3">
        <v>364</v>
      </c>
      <c r="D7" s="3">
        <v>300</v>
      </c>
      <c r="E7" s="3">
        <v>159</v>
      </c>
      <c r="F7" s="3">
        <v>79</v>
      </c>
      <c r="G7" s="10">
        <f>SUM(C7:F7)</f>
        <v>902</v>
      </c>
      <c r="H7" s="12">
        <v>274.5</v>
      </c>
      <c r="I7" s="12">
        <v>226.5</v>
      </c>
      <c r="J7" s="12">
        <v>120.75</v>
      </c>
      <c r="K7" s="12">
        <v>60.75</v>
      </c>
      <c r="L7" s="14">
        <f>SUM(H7:K7)</f>
        <v>682.5</v>
      </c>
    </row>
    <row r="8" spans="2:12" ht="19.5" thickBot="1" x14ac:dyDescent="0.3">
      <c r="B8" s="2" t="s">
        <v>9</v>
      </c>
      <c r="C8" s="3">
        <v>317</v>
      </c>
      <c r="D8" s="3">
        <v>227</v>
      </c>
      <c r="E8" s="3">
        <v>198</v>
      </c>
      <c r="F8" s="3">
        <v>121</v>
      </c>
      <c r="G8" s="10">
        <f t="shared" ref="G8:G9" si="0">SUM(C8:F8)</f>
        <v>863</v>
      </c>
      <c r="H8" s="12">
        <v>239.25</v>
      </c>
      <c r="I8" s="12">
        <v>171.75</v>
      </c>
      <c r="J8" s="12">
        <v>150</v>
      </c>
      <c r="K8" s="12">
        <v>92.25</v>
      </c>
      <c r="L8" s="14">
        <f t="shared" ref="L8:L9" si="1">SUM(H8:K8)</f>
        <v>653.25</v>
      </c>
    </row>
    <row r="9" spans="2:12" ht="19.5" thickBot="1" x14ac:dyDescent="0.3">
      <c r="B9" s="2" t="s">
        <v>10</v>
      </c>
      <c r="C9" s="3">
        <v>331</v>
      </c>
      <c r="D9" s="3">
        <v>250</v>
      </c>
      <c r="E9" s="3">
        <v>173</v>
      </c>
      <c r="F9" s="3">
        <v>94</v>
      </c>
      <c r="G9" s="10">
        <f t="shared" si="0"/>
        <v>848</v>
      </c>
      <c r="H9" s="12">
        <v>249.75</v>
      </c>
      <c r="I9" s="12">
        <v>189</v>
      </c>
      <c r="J9" s="12">
        <v>131.25</v>
      </c>
      <c r="K9" s="12">
        <v>72</v>
      </c>
      <c r="L9" s="14">
        <f t="shared" si="1"/>
        <v>642</v>
      </c>
    </row>
    <row r="10" spans="2:12" ht="16.5" thickBot="1" x14ac:dyDescent="0.3">
      <c r="B10" s="4" t="s">
        <v>11</v>
      </c>
      <c r="C10" s="13">
        <f>AVERAGE(C7:C9)</f>
        <v>337.33333333333331</v>
      </c>
      <c r="D10" s="13">
        <f t="shared" ref="D10:G10" si="2">AVERAGE(D7:D9)</f>
        <v>259</v>
      </c>
      <c r="E10" s="13">
        <f t="shared" si="2"/>
        <v>176.66666666666666</v>
      </c>
      <c r="F10" s="13">
        <f t="shared" si="2"/>
        <v>98</v>
      </c>
      <c r="G10" s="13">
        <f t="shared" si="2"/>
        <v>871</v>
      </c>
      <c r="H10" s="13">
        <f>AVERAGE(H7:H9)</f>
        <v>254.5</v>
      </c>
      <c r="I10" s="13">
        <f t="shared" ref="I10:L10" si="3">AVERAGE(I7:I9)</f>
        <v>195.75</v>
      </c>
      <c r="J10" s="13">
        <f t="shared" si="3"/>
        <v>134</v>
      </c>
      <c r="K10" s="13">
        <f t="shared" si="3"/>
        <v>75</v>
      </c>
      <c r="L10" s="13">
        <f t="shared" si="3"/>
        <v>659.25</v>
      </c>
    </row>
    <row r="16" spans="2:12" x14ac:dyDescent="0.25">
      <c r="H16" s="9"/>
      <c r="I16" s="9"/>
      <c r="J16" s="9"/>
      <c r="K16" s="9"/>
    </row>
    <row r="17" spans="8:11" x14ac:dyDescent="0.25">
      <c r="H17" s="9"/>
      <c r="I17" s="9"/>
      <c r="J17" s="9"/>
      <c r="K17" s="9"/>
    </row>
    <row r="18" spans="8:11" x14ac:dyDescent="0.25">
      <c r="H18" s="9"/>
      <c r="I18" s="9"/>
      <c r="J18" s="9"/>
      <c r="K18" s="9"/>
    </row>
  </sheetData>
  <mergeCells count="7">
    <mergeCell ref="L4:L6"/>
    <mergeCell ref="H5:K5"/>
    <mergeCell ref="B4:B6"/>
    <mergeCell ref="C4:F4"/>
    <mergeCell ref="G4:G6"/>
    <mergeCell ref="C5:F5"/>
    <mergeCell ref="H4:K4"/>
  </mergeCell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137"/>
  <sheetViews>
    <sheetView topLeftCell="AB151" workbookViewId="0">
      <selection activeCell="AJ120" sqref="AJ120"/>
    </sheetView>
  </sheetViews>
  <sheetFormatPr defaultRowHeight="15" x14ac:dyDescent="0.25"/>
  <cols>
    <col min="14" max="14" width="11.5703125" bestFit="1" customWidth="1"/>
    <col min="36" max="36" width="16.85546875" bestFit="1" customWidth="1"/>
    <col min="37" max="38" width="15.7109375" bestFit="1" customWidth="1"/>
  </cols>
  <sheetData>
    <row r="1" spans="2:43" x14ac:dyDescent="0.25">
      <c r="U1" s="35" t="s">
        <v>116</v>
      </c>
    </row>
    <row r="2" spans="2:43" ht="30" x14ac:dyDescent="0.4">
      <c r="N2" s="57">
        <v>2019</v>
      </c>
      <c r="U2" s="66">
        <v>2019</v>
      </c>
      <c r="V2" s="66">
        <v>2020</v>
      </c>
    </row>
    <row r="3" spans="2:43" x14ac:dyDescent="0.25">
      <c r="U3">
        <v>587.59999999999991</v>
      </c>
      <c r="V3">
        <v>369.8</v>
      </c>
    </row>
    <row r="4" spans="2:43" x14ac:dyDescent="0.25">
      <c r="R4" s="65" t="s">
        <v>20</v>
      </c>
      <c r="AC4" s="65" t="s">
        <v>115</v>
      </c>
      <c r="AP4" s="65" t="s">
        <v>125</v>
      </c>
    </row>
    <row r="5" spans="2:43" x14ac:dyDescent="0.25">
      <c r="E5" s="49" t="s">
        <v>69</v>
      </c>
      <c r="F5" s="49"/>
      <c r="G5" s="49"/>
      <c r="H5" s="49"/>
      <c r="I5" s="49" t="s">
        <v>69</v>
      </c>
      <c r="J5" s="49"/>
      <c r="K5" s="49"/>
      <c r="L5" s="49"/>
      <c r="M5" s="49" t="s">
        <v>72</v>
      </c>
      <c r="N5" s="49"/>
      <c r="O5" s="49"/>
      <c r="P5" s="49"/>
      <c r="Q5" s="49"/>
      <c r="R5" s="49" t="s">
        <v>73</v>
      </c>
      <c r="S5" s="49"/>
      <c r="AB5" s="49"/>
      <c r="AC5" s="49" t="s">
        <v>73</v>
      </c>
      <c r="AD5" s="49"/>
      <c r="AO5" s="49"/>
      <c r="AP5" s="49" t="s">
        <v>73</v>
      </c>
      <c r="AQ5" s="49"/>
    </row>
    <row r="6" spans="2:43" x14ac:dyDescent="0.25">
      <c r="E6" t="s">
        <v>70</v>
      </c>
      <c r="I6" t="s">
        <v>71</v>
      </c>
      <c r="M6" s="35" t="s">
        <v>67</v>
      </c>
      <c r="AG6" t="s">
        <v>120</v>
      </c>
    </row>
    <row r="7" spans="2:43" s="68" customFormat="1" x14ac:dyDescent="0.25">
      <c r="B7" s="71" t="s">
        <v>22</v>
      </c>
      <c r="D7" s="45">
        <v>26.5</v>
      </c>
      <c r="E7" s="45">
        <v>23.6</v>
      </c>
      <c r="F7" s="45">
        <v>21.56</v>
      </c>
      <c r="G7" s="45"/>
      <c r="H7" s="68">
        <f>D7*100</f>
        <v>2650</v>
      </c>
      <c r="I7" s="68">
        <f t="shared" ref="I7:J7" si="0">E7*100</f>
        <v>2360</v>
      </c>
      <c r="J7" s="68">
        <f t="shared" si="0"/>
        <v>2156</v>
      </c>
      <c r="L7" s="69">
        <v>12500</v>
      </c>
      <c r="M7" s="69">
        <v>12500</v>
      </c>
      <c r="N7" s="69">
        <v>12500</v>
      </c>
      <c r="Q7" s="45">
        <f>H7/L7</f>
        <v>0.21199999999999999</v>
      </c>
      <c r="R7" s="45">
        <f t="shared" ref="R7:S7" si="1">I7/M7</f>
        <v>0.1888</v>
      </c>
      <c r="S7" s="45">
        <f t="shared" si="1"/>
        <v>0.17247999999999999</v>
      </c>
      <c r="U7" s="68">
        <v>587.6</v>
      </c>
      <c r="V7" s="72"/>
      <c r="W7" s="72">
        <f>L7-U7</f>
        <v>11912.4</v>
      </c>
      <c r="X7" s="72">
        <f>M7-U7</f>
        <v>11912.4</v>
      </c>
      <c r="Y7" s="72">
        <f>N7-U7</f>
        <v>11912.4</v>
      </c>
      <c r="AB7" s="45">
        <f>H7/W7</f>
        <v>0.22245727141466037</v>
      </c>
      <c r="AC7" s="45">
        <f t="shared" ref="AC7:AD7" si="2">I7/X7</f>
        <v>0.19811289076928243</v>
      </c>
      <c r="AD7" s="45">
        <f t="shared" si="2"/>
        <v>0.18098787817736142</v>
      </c>
      <c r="AF7" s="73">
        <v>193.3962264150943</v>
      </c>
      <c r="AG7" s="73">
        <v>217.1610169491525</v>
      </c>
      <c r="AH7" s="73">
        <v>237.708719851577</v>
      </c>
      <c r="AJ7" s="73">
        <f>L7-AF7</f>
        <v>12306.603773584906</v>
      </c>
      <c r="AK7" s="73">
        <f t="shared" ref="AK7:AL7" si="3">M7-AG7</f>
        <v>12282.838983050848</v>
      </c>
      <c r="AL7" s="73">
        <f t="shared" si="3"/>
        <v>12262.291280148424</v>
      </c>
      <c r="AO7" s="45">
        <f>H7/AJ7</f>
        <v>0.21533154465312379</v>
      </c>
      <c r="AP7" s="45">
        <f t="shared" ref="AP7:AQ7" si="4">I7/AK7</f>
        <v>0.19213799051315222</v>
      </c>
      <c r="AQ7" s="45">
        <f t="shared" si="4"/>
        <v>0.17582358392434988</v>
      </c>
    </row>
    <row r="8" spans="2:43" s="68" customFormat="1" x14ac:dyDescent="0.25">
      <c r="B8" s="71" t="s">
        <v>24</v>
      </c>
      <c r="D8" s="45">
        <v>38.9</v>
      </c>
      <c r="E8" s="45">
        <v>42.2</v>
      </c>
      <c r="F8" s="45">
        <v>43.5</v>
      </c>
      <c r="G8" s="45"/>
      <c r="H8" s="68">
        <f t="shared" ref="H8:H24" si="5">D8*100</f>
        <v>3890</v>
      </c>
      <c r="I8" s="68">
        <f t="shared" ref="I8:I24" si="6">E8*100</f>
        <v>4220</v>
      </c>
      <c r="J8" s="68">
        <f t="shared" ref="J8:J24" si="7">F8*100</f>
        <v>4350</v>
      </c>
      <c r="L8" s="69">
        <v>12000</v>
      </c>
      <c r="M8" s="69">
        <v>12000</v>
      </c>
      <c r="N8" s="69">
        <v>12000</v>
      </c>
      <c r="Q8" s="45">
        <f t="shared" ref="Q8:Q24" si="8">H8/L8</f>
        <v>0.32416666666666666</v>
      </c>
      <c r="R8" s="45">
        <f t="shared" ref="R8:R24" si="9">I8/M8</f>
        <v>0.35166666666666668</v>
      </c>
      <c r="S8" s="45">
        <f t="shared" ref="S8:S24" si="10">J8/N8</f>
        <v>0.36249999999999999</v>
      </c>
      <c r="U8" s="68">
        <v>587.6</v>
      </c>
      <c r="V8" s="72"/>
      <c r="W8" s="72">
        <f t="shared" ref="W8:W24" si="11">L8-U8</f>
        <v>11412.4</v>
      </c>
      <c r="X8" s="72">
        <f t="shared" ref="X8:X24" si="12">M8-U8</f>
        <v>11412.4</v>
      </c>
      <c r="Y8" s="72">
        <f t="shared" ref="Y8:Y24" si="13">N8-U8</f>
        <v>11412.4</v>
      </c>
      <c r="AB8" s="45">
        <f t="shared" ref="AB8:AB24" si="14">H8/W8</f>
        <v>0.34085731309803374</v>
      </c>
      <c r="AC8" s="45">
        <f t="shared" ref="AC8:AC24" si="15">I8/X8</f>
        <v>0.36977322911920368</v>
      </c>
      <c r="AD8" s="45">
        <f t="shared" ref="AD8:AD24" si="16">J8/Y8</f>
        <v>0.3811643475517858</v>
      </c>
      <c r="AF8" s="73">
        <v>124.27461139896371</v>
      </c>
      <c r="AG8" s="73">
        <v>126.90476190476191</v>
      </c>
      <c r="AH8" s="73">
        <v>132.51381215469613</v>
      </c>
      <c r="AJ8" s="73">
        <f t="shared" ref="AJ8:AJ24" si="17">L8-AF8</f>
        <v>11875.725388601037</v>
      </c>
      <c r="AK8" s="73">
        <f t="shared" ref="AK8:AK24" si="18">M8-AG8</f>
        <v>11873.095238095239</v>
      </c>
      <c r="AL8" s="73">
        <f t="shared" ref="AL8:AL24" si="19">N8-AH8</f>
        <v>11867.486187845303</v>
      </c>
      <c r="AO8" s="45">
        <f t="shared" ref="AO8:AO24" si="20">H8/AJ8</f>
        <v>0.32755893831410354</v>
      </c>
      <c r="AP8" s="45">
        <f t="shared" ref="AP8:AP24" si="21">I8/AK8</f>
        <v>0.35542543164818413</v>
      </c>
      <c r="AQ8" s="45">
        <f t="shared" ref="AQ8:AQ24" si="22">J8/AL8</f>
        <v>0.36654771963882937</v>
      </c>
    </row>
    <row r="9" spans="2:43" s="68" customFormat="1" x14ac:dyDescent="0.25">
      <c r="B9" s="71" t="s">
        <v>31</v>
      </c>
      <c r="D9" s="45">
        <v>48.6</v>
      </c>
      <c r="E9" s="45">
        <v>47.56</v>
      </c>
      <c r="F9" s="45">
        <v>45.8</v>
      </c>
      <c r="G9" s="45"/>
      <c r="H9" s="68">
        <f t="shared" si="5"/>
        <v>4860</v>
      </c>
      <c r="I9" s="68">
        <f t="shared" si="6"/>
        <v>4756</v>
      </c>
      <c r="J9" s="68">
        <f t="shared" si="7"/>
        <v>4580</v>
      </c>
      <c r="L9" s="69">
        <v>11900</v>
      </c>
      <c r="M9" s="69">
        <v>11900</v>
      </c>
      <c r="N9" s="69">
        <v>11900</v>
      </c>
      <c r="Q9" s="45">
        <f t="shared" si="8"/>
        <v>0.40840336134453781</v>
      </c>
      <c r="R9" s="45">
        <f t="shared" si="9"/>
        <v>0.39966386554621847</v>
      </c>
      <c r="S9" s="45">
        <f t="shared" si="10"/>
        <v>0.38487394957983195</v>
      </c>
      <c r="U9" s="68">
        <v>587.6</v>
      </c>
      <c r="W9" s="72">
        <f t="shared" si="11"/>
        <v>11312.4</v>
      </c>
      <c r="X9" s="72">
        <f t="shared" si="12"/>
        <v>11312.4</v>
      </c>
      <c r="Y9" s="72">
        <f t="shared" si="13"/>
        <v>11312.4</v>
      </c>
      <c r="AB9" s="45">
        <f t="shared" si="14"/>
        <v>0.4296170573883526</v>
      </c>
      <c r="AC9" s="45">
        <f t="shared" si="15"/>
        <v>0.42042360595452777</v>
      </c>
      <c r="AD9" s="45">
        <f t="shared" si="16"/>
        <v>0.40486545737420887</v>
      </c>
      <c r="AF9" s="73">
        <v>126.47814910025707</v>
      </c>
      <c r="AG9" s="73">
        <v>116.58767772511847</v>
      </c>
      <c r="AH9" s="73">
        <v>113.10344827586206</v>
      </c>
      <c r="AJ9" s="73">
        <f t="shared" si="17"/>
        <v>11773.521850899742</v>
      </c>
      <c r="AK9" s="73">
        <f t="shared" si="18"/>
        <v>11783.412322274882</v>
      </c>
      <c r="AL9" s="73">
        <f t="shared" si="19"/>
        <v>11786.896551724138</v>
      </c>
      <c r="AO9" s="45">
        <f t="shared" si="20"/>
        <v>0.4127906722854211</v>
      </c>
      <c r="AP9" s="45">
        <f t="shared" si="21"/>
        <v>0.40361822788883078</v>
      </c>
      <c r="AQ9" s="45">
        <f t="shared" si="22"/>
        <v>0.38856708208998891</v>
      </c>
    </row>
    <row r="10" spans="2:43" s="68" customFormat="1" x14ac:dyDescent="0.25">
      <c r="B10" s="71" t="s">
        <v>34</v>
      </c>
      <c r="D10" s="45">
        <v>38.6</v>
      </c>
      <c r="E10" s="45">
        <v>37.799999999999997</v>
      </c>
      <c r="F10" s="45">
        <v>36.200000000000003</v>
      </c>
      <c r="G10" s="45"/>
      <c r="H10" s="68">
        <f t="shared" si="5"/>
        <v>3860</v>
      </c>
      <c r="I10" s="68">
        <f t="shared" si="6"/>
        <v>3779.9999999999995</v>
      </c>
      <c r="J10" s="68">
        <f t="shared" si="7"/>
        <v>3620.0000000000005</v>
      </c>
      <c r="L10" s="69">
        <v>11700</v>
      </c>
      <c r="M10" s="69">
        <v>11700</v>
      </c>
      <c r="N10" s="69">
        <v>11700</v>
      </c>
      <c r="Q10" s="45">
        <f t="shared" si="8"/>
        <v>0.32991452991452991</v>
      </c>
      <c r="R10" s="45">
        <f t="shared" si="9"/>
        <v>0.32307692307692304</v>
      </c>
      <c r="S10" s="45">
        <f t="shared" si="10"/>
        <v>0.30940170940170947</v>
      </c>
      <c r="U10" s="68">
        <v>587.6</v>
      </c>
      <c r="W10" s="72">
        <f t="shared" si="11"/>
        <v>11112.4</v>
      </c>
      <c r="X10" s="72">
        <f t="shared" si="12"/>
        <v>11112.4</v>
      </c>
      <c r="Y10" s="72">
        <f t="shared" si="13"/>
        <v>11112.4</v>
      </c>
      <c r="AB10" s="45">
        <f t="shared" si="14"/>
        <v>0.3473597062740722</v>
      </c>
      <c r="AC10" s="45">
        <f t="shared" si="15"/>
        <v>0.3401605413772002</v>
      </c>
      <c r="AD10" s="45">
        <f t="shared" si="16"/>
        <v>0.32576221158345636</v>
      </c>
      <c r="AF10" s="73">
        <v>113.20895522388061</v>
      </c>
      <c r="AG10" s="73">
        <v>115.21518987341771</v>
      </c>
      <c r="AH10" s="73">
        <v>116.99228791773781</v>
      </c>
      <c r="AJ10" s="73">
        <f t="shared" si="17"/>
        <v>11586.791044776119</v>
      </c>
      <c r="AK10" s="73">
        <f t="shared" si="18"/>
        <v>11584.784810126583</v>
      </c>
      <c r="AL10" s="73">
        <f t="shared" si="19"/>
        <v>11583.007712082263</v>
      </c>
      <c r="AO10" s="45">
        <f t="shared" si="20"/>
        <v>0.3331379659030162</v>
      </c>
      <c r="AP10" s="45">
        <f t="shared" si="21"/>
        <v>0.32629004871077072</v>
      </c>
      <c r="AQ10" s="45">
        <f t="shared" si="22"/>
        <v>0.31252677111006066</v>
      </c>
    </row>
    <row r="11" spans="2:43" s="68" customFormat="1" x14ac:dyDescent="0.25">
      <c r="B11" s="71" t="s">
        <v>38</v>
      </c>
      <c r="D11" s="45">
        <v>45.8</v>
      </c>
      <c r="E11" s="45">
        <v>47.6</v>
      </c>
      <c r="F11" s="45">
        <v>44.5</v>
      </c>
      <c r="G11" s="45"/>
      <c r="H11" s="68">
        <f t="shared" si="5"/>
        <v>4580</v>
      </c>
      <c r="I11" s="68">
        <f t="shared" si="6"/>
        <v>4760</v>
      </c>
      <c r="J11" s="68">
        <f t="shared" si="7"/>
        <v>4450</v>
      </c>
      <c r="L11" s="69">
        <v>11500</v>
      </c>
      <c r="M11" s="69">
        <v>11500</v>
      </c>
      <c r="N11" s="69">
        <v>11500</v>
      </c>
      <c r="Q11" s="45">
        <f t="shared" si="8"/>
        <v>0.39826086956521739</v>
      </c>
      <c r="R11" s="45">
        <f t="shared" si="9"/>
        <v>0.41391304347826086</v>
      </c>
      <c r="S11" s="45">
        <f t="shared" si="10"/>
        <v>0.38695652173913042</v>
      </c>
      <c r="U11" s="68">
        <v>587.6</v>
      </c>
      <c r="W11" s="72">
        <f t="shared" si="11"/>
        <v>10912.4</v>
      </c>
      <c r="X11" s="72">
        <f t="shared" si="12"/>
        <v>10912.4</v>
      </c>
      <c r="Y11" s="72">
        <f t="shared" si="13"/>
        <v>10912.4</v>
      </c>
      <c r="AB11" s="45">
        <f t="shared" si="14"/>
        <v>0.41970602250650635</v>
      </c>
      <c r="AC11" s="45">
        <f t="shared" si="15"/>
        <v>0.43620101902422931</v>
      </c>
      <c r="AD11" s="45">
        <f t="shared" si="16"/>
        <v>0.40779296946592869</v>
      </c>
      <c r="AF11" s="73">
        <v>117.94520547945206</v>
      </c>
      <c r="AG11" s="73">
        <v>120.58823529411762</v>
      </c>
      <c r="AH11" s="73">
        <v>123.70689655172413</v>
      </c>
      <c r="AJ11" s="73">
        <f t="shared" si="17"/>
        <v>11382.054794520547</v>
      </c>
      <c r="AK11" s="73">
        <f t="shared" si="18"/>
        <v>11379.411764705883</v>
      </c>
      <c r="AL11" s="73">
        <f t="shared" si="19"/>
        <v>11376.293103448275</v>
      </c>
      <c r="AO11" s="45">
        <f t="shared" si="20"/>
        <v>0.40238780103262767</v>
      </c>
      <c r="AP11" s="45">
        <f t="shared" si="21"/>
        <v>0.41829930214525718</v>
      </c>
      <c r="AQ11" s="45">
        <f t="shared" si="22"/>
        <v>0.39116432387375444</v>
      </c>
    </row>
    <row r="12" spans="2:43" s="68" customFormat="1" x14ac:dyDescent="0.25">
      <c r="B12" s="71" t="s">
        <v>40</v>
      </c>
      <c r="D12" s="45">
        <v>51.8</v>
      </c>
      <c r="E12" s="45">
        <v>49.8</v>
      </c>
      <c r="F12" s="45">
        <v>47.8</v>
      </c>
      <c r="G12" s="45"/>
      <c r="H12" s="68">
        <f t="shared" si="5"/>
        <v>5180</v>
      </c>
      <c r="I12" s="68">
        <f t="shared" si="6"/>
        <v>4980</v>
      </c>
      <c r="J12" s="68">
        <f t="shared" si="7"/>
        <v>4780</v>
      </c>
      <c r="L12" s="69">
        <v>10600</v>
      </c>
      <c r="M12" s="69">
        <v>10600</v>
      </c>
      <c r="N12" s="69">
        <v>10600</v>
      </c>
      <c r="Q12" s="45">
        <f t="shared" si="8"/>
        <v>0.48867924528301887</v>
      </c>
      <c r="R12" s="45">
        <f t="shared" si="9"/>
        <v>0.46981132075471699</v>
      </c>
      <c r="S12" s="45">
        <f t="shared" si="10"/>
        <v>0.45094339622641511</v>
      </c>
      <c r="U12" s="68">
        <v>587.6</v>
      </c>
      <c r="W12" s="72">
        <f t="shared" si="11"/>
        <v>10012.4</v>
      </c>
      <c r="X12" s="72">
        <f t="shared" si="12"/>
        <v>10012.4</v>
      </c>
      <c r="Y12" s="72">
        <f t="shared" si="13"/>
        <v>10012.4</v>
      </c>
      <c r="AB12" s="45">
        <f t="shared" si="14"/>
        <v>0.51735847549039193</v>
      </c>
      <c r="AC12" s="45">
        <f t="shared" si="15"/>
        <v>0.49738324477647716</v>
      </c>
      <c r="AD12" s="45">
        <f t="shared" si="16"/>
        <v>0.47740801406256245</v>
      </c>
      <c r="AF12" s="73">
        <v>102.73563218390805</v>
      </c>
      <c r="AG12" s="73">
        <v>105.15294117647058</v>
      </c>
      <c r="AH12" s="73">
        <v>106.65871121718378</v>
      </c>
      <c r="AJ12" s="73">
        <f t="shared" si="17"/>
        <v>10497.264367816091</v>
      </c>
      <c r="AK12" s="73">
        <f t="shared" si="18"/>
        <v>10494.847058823529</v>
      </c>
      <c r="AL12" s="73">
        <f t="shared" si="19"/>
        <v>10493.341288782816</v>
      </c>
      <c r="AO12" s="45">
        <f t="shared" si="20"/>
        <v>0.49346189811905022</v>
      </c>
      <c r="AP12" s="45">
        <f t="shared" si="21"/>
        <v>0.47451858727308194</v>
      </c>
      <c r="AQ12" s="45">
        <f t="shared" si="22"/>
        <v>0.45552697357797078</v>
      </c>
    </row>
    <row r="13" spans="2:43" s="68" customFormat="1" x14ac:dyDescent="0.25">
      <c r="B13" s="71" t="s">
        <v>42</v>
      </c>
      <c r="D13" s="45">
        <v>40.200000000000003</v>
      </c>
      <c r="E13" s="45">
        <v>39.5</v>
      </c>
      <c r="F13" s="45">
        <v>38.9</v>
      </c>
      <c r="G13" s="45"/>
      <c r="H13" s="68">
        <f t="shared" si="5"/>
        <v>4020.0000000000005</v>
      </c>
      <c r="I13" s="68">
        <f t="shared" si="6"/>
        <v>3950</v>
      </c>
      <c r="J13" s="68">
        <f t="shared" si="7"/>
        <v>3890</v>
      </c>
      <c r="L13" s="69">
        <v>11100.000000000002</v>
      </c>
      <c r="M13" s="69">
        <v>11100.000000000002</v>
      </c>
      <c r="N13" s="69">
        <v>11100.000000000002</v>
      </c>
      <c r="Q13" s="45">
        <f t="shared" si="8"/>
        <v>0.36216216216216213</v>
      </c>
      <c r="R13" s="45">
        <f t="shared" si="9"/>
        <v>0.35585585585585577</v>
      </c>
      <c r="S13" s="45">
        <f t="shared" si="10"/>
        <v>0.35045045045045037</v>
      </c>
      <c r="U13" s="68">
        <v>587.6</v>
      </c>
      <c r="W13" s="72">
        <f t="shared" si="11"/>
        <v>10512.400000000001</v>
      </c>
      <c r="X13" s="72">
        <f t="shared" si="12"/>
        <v>10512.400000000001</v>
      </c>
      <c r="Y13" s="72">
        <f t="shared" si="13"/>
        <v>10512.400000000001</v>
      </c>
      <c r="AB13" s="45">
        <f t="shared" si="14"/>
        <v>0.38240554012404399</v>
      </c>
      <c r="AC13" s="45">
        <f t="shared" si="15"/>
        <v>0.3757467371865606</v>
      </c>
      <c r="AD13" s="45">
        <f t="shared" si="16"/>
        <v>0.37003919181157485</v>
      </c>
      <c r="AF13" s="73">
        <v>102.9475982532751</v>
      </c>
      <c r="AG13" s="73">
        <v>99.054621848739487</v>
      </c>
      <c r="AH13" s="73">
        <v>105.95505617977527</v>
      </c>
      <c r="AJ13" s="73">
        <f t="shared" si="17"/>
        <v>10997.052401746727</v>
      </c>
      <c r="AK13" s="73">
        <f t="shared" si="18"/>
        <v>11000.945378151262</v>
      </c>
      <c r="AL13" s="73">
        <f t="shared" si="19"/>
        <v>10994.044943820227</v>
      </c>
      <c r="AO13" s="45">
        <f t="shared" si="20"/>
        <v>0.36555250017372654</v>
      </c>
      <c r="AP13" s="45">
        <f t="shared" si="21"/>
        <v>0.35906005022486603</v>
      </c>
      <c r="AQ13" s="45">
        <f t="shared" si="22"/>
        <v>0.35382791501016886</v>
      </c>
    </row>
    <row r="14" spans="2:43" s="68" customFormat="1" x14ac:dyDescent="0.25">
      <c r="B14" s="71" t="s">
        <v>44</v>
      </c>
      <c r="D14" s="45">
        <v>43.5</v>
      </c>
      <c r="E14" s="45">
        <v>42.5</v>
      </c>
      <c r="F14" s="45">
        <v>41.9</v>
      </c>
      <c r="G14" s="45"/>
      <c r="H14" s="68">
        <f t="shared" si="5"/>
        <v>4350</v>
      </c>
      <c r="I14" s="68">
        <f t="shared" si="6"/>
        <v>4250</v>
      </c>
      <c r="J14" s="68">
        <f t="shared" si="7"/>
        <v>4190</v>
      </c>
      <c r="L14" s="69">
        <v>10900</v>
      </c>
      <c r="M14" s="69">
        <v>10900</v>
      </c>
      <c r="N14" s="69">
        <v>10900</v>
      </c>
      <c r="Q14" s="45">
        <f t="shared" si="8"/>
        <v>0.39908256880733944</v>
      </c>
      <c r="R14" s="45">
        <f t="shared" si="9"/>
        <v>0.38990825688073394</v>
      </c>
      <c r="S14" s="45">
        <f t="shared" si="10"/>
        <v>0.38440366972477064</v>
      </c>
      <c r="U14" s="68">
        <v>587.6</v>
      </c>
      <c r="W14" s="72">
        <f t="shared" si="11"/>
        <v>10312.4</v>
      </c>
      <c r="X14" s="72">
        <f t="shared" si="12"/>
        <v>10312.4</v>
      </c>
      <c r="Y14" s="72">
        <f t="shared" si="13"/>
        <v>10312.4</v>
      </c>
      <c r="AB14" s="45">
        <f t="shared" si="14"/>
        <v>0.42182227221597302</v>
      </c>
      <c r="AC14" s="45">
        <f t="shared" si="15"/>
        <v>0.41212520848687018</v>
      </c>
      <c r="AD14" s="45">
        <f t="shared" si="16"/>
        <v>0.40630697024940848</v>
      </c>
      <c r="AF14" s="73">
        <v>100.3909465020576</v>
      </c>
      <c r="AG14" s="73">
        <v>102.5862068965517</v>
      </c>
      <c r="AH14" s="73">
        <v>106.52838427947597</v>
      </c>
      <c r="AJ14" s="73">
        <f t="shared" si="17"/>
        <v>10799.609053497943</v>
      </c>
      <c r="AK14" s="73">
        <f t="shared" si="18"/>
        <v>10797.413793103447</v>
      </c>
      <c r="AL14" s="73">
        <f t="shared" si="19"/>
        <v>10793.471615720524</v>
      </c>
      <c r="AO14" s="45">
        <f t="shared" si="20"/>
        <v>0.40279235835773658</v>
      </c>
      <c r="AP14" s="45">
        <f t="shared" si="21"/>
        <v>0.39361277445109782</v>
      </c>
      <c r="AQ14" s="45">
        <f t="shared" si="22"/>
        <v>0.38819762067075159</v>
      </c>
    </row>
    <row r="15" spans="2:43" s="68" customFormat="1" x14ac:dyDescent="0.25">
      <c r="B15" s="71" t="s">
        <v>46</v>
      </c>
      <c r="D15" s="45">
        <v>36.5</v>
      </c>
      <c r="E15" s="45">
        <v>35.700000000000003</v>
      </c>
      <c r="F15" s="45">
        <v>34.799999999999997</v>
      </c>
      <c r="G15" s="45"/>
      <c r="H15" s="68">
        <f t="shared" si="5"/>
        <v>3650</v>
      </c>
      <c r="I15" s="68">
        <f t="shared" si="6"/>
        <v>3570.0000000000005</v>
      </c>
      <c r="J15" s="68">
        <f t="shared" si="7"/>
        <v>3479.9999999999995</v>
      </c>
      <c r="L15" s="69">
        <v>10500</v>
      </c>
      <c r="M15" s="69">
        <v>10500</v>
      </c>
      <c r="N15" s="69">
        <v>10500</v>
      </c>
      <c r="Q15" s="45">
        <f t="shared" si="8"/>
        <v>0.34761904761904761</v>
      </c>
      <c r="R15" s="45">
        <f t="shared" si="9"/>
        <v>0.34</v>
      </c>
      <c r="S15" s="45">
        <f t="shared" si="10"/>
        <v>0.33142857142857141</v>
      </c>
      <c r="U15" s="68">
        <v>587.6</v>
      </c>
      <c r="W15" s="72">
        <f t="shared" si="11"/>
        <v>9912.4</v>
      </c>
      <c r="X15" s="72">
        <f t="shared" si="12"/>
        <v>9912.4</v>
      </c>
      <c r="Y15" s="72">
        <f t="shared" si="13"/>
        <v>9912.4</v>
      </c>
      <c r="AB15" s="45">
        <f t="shared" si="14"/>
        <v>0.36822565675315766</v>
      </c>
      <c r="AC15" s="45">
        <f t="shared" si="15"/>
        <v>0.36015495742706111</v>
      </c>
      <c r="AD15" s="45">
        <f t="shared" si="16"/>
        <v>0.35107542068520237</v>
      </c>
      <c r="AF15" s="73">
        <v>83.899613899613911</v>
      </c>
      <c r="AG15" s="73">
        <v>87.269076305220878</v>
      </c>
      <c r="AH15" s="73">
        <v>90.920502092050228</v>
      </c>
      <c r="AJ15" s="73">
        <f t="shared" si="17"/>
        <v>10416.100386100386</v>
      </c>
      <c r="AK15" s="73">
        <f t="shared" si="18"/>
        <v>10412.730923694779</v>
      </c>
      <c r="AL15" s="73">
        <f t="shared" si="19"/>
        <v>10409.079497907949</v>
      </c>
      <c r="AO15" s="45">
        <f t="shared" si="20"/>
        <v>0.35041904980780419</v>
      </c>
      <c r="AP15" s="45">
        <f t="shared" si="21"/>
        <v>0.34284953929581108</v>
      </c>
      <c r="AQ15" s="45">
        <f t="shared" si="22"/>
        <v>0.33432351061392329</v>
      </c>
    </row>
    <row r="16" spans="2:43" x14ac:dyDescent="0.25">
      <c r="B16" s="27" t="s">
        <v>48</v>
      </c>
      <c r="D16" s="7">
        <v>26.5</v>
      </c>
      <c r="E16" s="7">
        <v>15.6</v>
      </c>
      <c r="F16" s="7">
        <v>22.6</v>
      </c>
      <c r="G16" s="7"/>
      <c r="H16">
        <f t="shared" si="5"/>
        <v>2650</v>
      </c>
      <c r="I16">
        <f t="shared" si="6"/>
        <v>1560</v>
      </c>
      <c r="J16">
        <f t="shared" si="7"/>
        <v>2260</v>
      </c>
      <c r="L16" s="9">
        <v>10900</v>
      </c>
      <c r="M16" s="9">
        <v>10900</v>
      </c>
      <c r="N16" s="9">
        <v>10900</v>
      </c>
      <c r="Q16" s="7">
        <f t="shared" si="8"/>
        <v>0.24311926605504589</v>
      </c>
      <c r="R16" s="7">
        <f t="shared" si="9"/>
        <v>0.14311926605504588</v>
      </c>
      <c r="S16" s="7">
        <f t="shared" si="10"/>
        <v>0.20733944954128442</v>
      </c>
      <c r="U16" s="68">
        <v>587.6</v>
      </c>
      <c r="W16" s="48">
        <f t="shared" si="11"/>
        <v>10312.4</v>
      </c>
      <c r="X16" s="48">
        <f t="shared" si="12"/>
        <v>10312.4</v>
      </c>
      <c r="Y16" s="48">
        <f t="shared" si="13"/>
        <v>10312.4</v>
      </c>
      <c r="AB16" s="7">
        <f t="shared" si="14"/>
        <v>0.25697218882122497</v>
      </c>
      <c r="AC16" s="7">
        <f t="shared" si="15"/>
        <v>0.15127419417400412</v>
      </c>
      <c r="AD16" s="7">
        <f t="shared" si="16"/>
        <v>0.21915364027772391</v>
      </c>
      <c r="AF16" s="47">
        <v>168.64150943396228</v>
      </c>
      <c r="AG16" s="47">
        <v>286.47435897435895</v>
      </c>
      <c r="AH16" s="47">
        <v>197.74336283185841</v>
      </c>
      <c r="AJ16" s="47">
        <f t="shared" si="17"/>
        <v>10731.358490566037</v>
      </c>
      <c r="AK16" s="47">
        <f t="shared" si="18"/>
        <v>10613.525641025641</v>
      </c>
      <c r="AL16" s="47">
        <f t="shared" si="19"/>
        <v>10702.256637168142</v>
      </c>
      <c r="AO16" s="7">
        <f t="shared" si="20"/>
        <v>0.24693984478569245</v>
      </c>
      <c r="AP16" s="7">
        <f t="shared" si="21"/>
        <v>0.1469822613863539</v>
      </c>
      <c r="AQ16" s="7">
        <f t="shared" si="22"/>
        <v>0.21117041728855462</v>
      </c>
    </row>
    <row r="17" spans="2:43" x14ac:dyDescent="0.25">
      <c r="B17" s="27" t="s">
        <v>49</v>
      </c>
      <c r="D17" s="7">
        <v>38.5</v>
      </c>
      <c r="E17" s="7">
        <v>36.4</v>
      </c>
      <c r="F17" s="7">
        <v>37.799999999999997</v>
      </c>
      <c r="G17" s="7"/>
      <c r="H17">
        <f t="shared" si="5"/>
        <v>3850</v>
      </c>
      <c r="I17">
        <f t="shared" si="6"/>
        <v>3640</v>
      </c>
      <c r="J17">
        <f t="shared" si="7"/>
        <v>3779.9999999999995</v>
      </c>
      <c r="L17" s="9">
        <v>10600</v>
      </c>
      <c r="M17" s="9">
        <v>10600</v>
      </c>
      <c r="N17" s="9">
        <v>10600</v>
      </c>
      <c r="Q17" s="7">
        <f t="shared" si="8"/>
        <v>0.3632075471698113</v>
      </c>
      <c r="R17" s="7">
        <f t="shared" si="9"/>
        <v>0.34339622641509432</v>
      </c>
      <c r="S17" s="7">
        <f t="shared" si="10"/>
        <v>0.35660377358490564</v>
      </c>
      <c r="U17" s="68">
        <v>587.6</v>
      </c>
      <c r="W17" s="48">
        <f t="shared" si="11"/>
        <v>10012.4</v>
      </c>
      <c r="X17" s="48">
        <f t="shared" si="12"/>
        <v>10012.4</v>
      </c>
      <c r="Y17" s="48">
        <f t="shared" si="13"/>
        <v>10012.4</v>
      </c>
      <c r="AB17" s="7">
        <f t="shared" si="14"/>
        <v>0.38452319124285889</v>
      </c>
      <c r="AC17" s="7">
        <f t="shared" si="15"/>
        <v>0.36354919899324839</v>
      </c>
      <c r="AD17" s="7">
        <f t="shared" si="16"/>
        <v>0.37753186049298865</v>
      </c>
      <c r="AF17" s="47">
        <v>86.08695652173914</v>
      </c>
      <c r="AG17" s="47">
        <v>88.245125348189433</v>
      </c>
      <c r="AH17" s="47">
        <v>79.597989949748751</v>
      </c>
      <c r="AJ17" s="47">
        <f t="shared" si="17"/>
        <v>10513.91304347826</v>
      </c>
      <c r="AK17" s="47">
        <f t="shared" si="18"/>
        <v>10511.754874651811</v>
      </c>
      <c r="AL17" s="47">
        <f t="shared" si="19"/>
        <v>10520.402010050251</v>
      </c>
      <c r="AO17" s="7">
        <f t="shared" si="20"/>
        <v>0.36618145728227608</v>
      </c>
      <c r="AP17" s="7">
        <f t="shared" si="21"/>
        <v>0.34627900321168498</v>
      </c>
      <c r="AQ17" s="7">
        <f t="shared" si="22"/>
        <v>0.35930185903437201</v>
      </c>
    </row>
    <row r="18" spans="2:43" x14ac:dyDescent="0.25">
      <c r="B18" s="27" t="s">
        <v>50</v>
      </c>
      <c r="D18" s="7">
        <v>47.8</v>
      </c>
      <c r="E18" s="7">
        <v>46.8</v>
      </c>
      <c r="F18" s="7">
        <v>44.8</v>
      </c>
      <c r="G18" s="7"/>
      <c r="H18">
        <f t="shared" si="5"/>
        <v>4780</v>
      </c>
      <c r="I18">
        <f t="shared" si="6"/>
        <v>4680</v>
      </c>
      <c r="J18">
        <f t="shared" si="7"/>
        <v>4480</v>
      </c>
      <c r="L18" s="9">
        <v>10200</v>
      </c>
      <c r="M18" s="9">
        <v>10200</v>
      </c>
      <c r="N18" s="9">
        <v>10200</v>
      </c>
      <c r="Q18" s="7">
        <f t="shared" si="8"/>
        <v>0.46862745098039216</v>
      </c>
      <c r="R18" s="7">
        <f t="shared" si="9"/>
        <v>0.45882352941176469</v>
      </c>
      <c r="S18" s="7">
        <f t="shared" si="10"/>
        <v>0.4392156862745098</v>
      </c>
      <c r="U18" s="68">
        <v>587.6</v>
      </c>
      <c r="W18" s="48">
        <f t="shared" si="11"/>
        <v>9612.4</v>
      </c>
      <c r="X18" s="48">
        <f t="shared" si="12"/>
        <v>9612.4</v>
      </c>
      <c r="Y18" s="48">
        <f t="shared" si="13"/>
        <v>9612.4</v>
      </c>
      <c r="AB18" s="7">
        <f t="shared" si="14"/>
        <v>0.49727435395946906</v>
      </c>
      <c r="AC18" s="7">
        <f t="shared" si="15"/>
        <v>0.48687112479713707</v>
      </c>
      <c r="AD18" s="7">
        <f t="shared" si="16"/>
        <v>0.46606466647247308</v>
      </c>
      <c r="AF18" s="47">
        <v>88.103896103896091</v>
      </c>
      <c r="AG18" s="47">
        <v>93.186813186813197</v>
      </c>
      <c r="AH18" s="47">
        <v>89.735449735449748</v>
      </c>
      <c r="AJ18" s="47">
        <f t="shared" si="17"/>
        <v>10111.896103896104</v>
      </c>
      <c r="AK18" s="47">
        <f t="shared" si="18"/>
        <v>10106.813186813186</v>
      </c>
      <c r="AL18" s="47">
        <f t="shared" si="19"/>
        <v>10110.26455026455</v>
      </c>
      <c r="AO18" s="7">
        <f t="shared" si="20"/>
        <v>0.4727105530839335</v>
      </c>
      <c r="AP18" s="7">
        <f t="shared" si="21"/>
        <v>0.46305397294828865</v>
      </c>
      <c r="AQ18" s="7">
        <f t="shared" si="22"/>
        <v>0.44311402315212162</v>
      </c>
    </row>
    <row r="19" spans="2:43" x14ac:dyDescent="0.25">
      <c r="B19" s="27" t="s">
        <v>52</v>
      </c>
      <c r="D19" s="7">
        <v>36.799999999999997</v>
      </c>
      <c r="E19" s="7">
        <v>35.9</v>
      </c>
      <c r="F19" s="7">
        <v>39.799999999999997</v>
      </c>
      <c r="G19" s="7"/>
      <c r="H19">
        <f t="shared" si="5"/>
        <v>3679.9999999999995</v>
      </c>
      <c r="I19">
        <f t="shared" si="6"/>
        <v>3590</v>
      </c>
      <c r="J19">
        <f t="shared" si="7"/>
        <v>3979.9999999999995</v>
      </c>
      <c r="L19" s="9">
        <v>9900</v>
      </c>
      <c r="M19" s="9">
        <v>9900</v>
      </c>
      <c r="N19" s="9">
        <v>9900</v>
      </c>
      <c r="Q19" s="7">
        <f t="shared" si="8"/>
        <v>0.37171717171717167</v>
      </c>
      <c r="R19" s="7">
        <f t="shared" si="9"/>
        <v>0.36262626262626263</v>
      </c>
      <c r="S19" s="7">
        <f t="shared" si="10"/>
        <v>0.402020202020202</v>
      </c>
      <c r="U19" s="68">
        <v>587.6</v>
      </c>
      <c r="W19" s="48">
        <f t="shared" si="11"/>
        <v>9312.4</v>
      </c>
      <c r="X19" s="48">
        <f t="shared" si="12"/>
        <v>9312.4</v>
      </c>
      <c r="Y19" s="48">
        <f t="shared" si="13"/>
        <v>9312.4</v>
      </c>
      <c r="AB19" s="7">
        <f t="shared" si="14"/>
        <v>0.3951720286929255</v>
      </c>
      <c r="AC19" s="7">
        <f t="shared" si="15"/>
        <v>0.38550749538250079</v>
      </c>
      <c r="AD19" s="7">
        <f t="shared" si="16"/>
        <v>0.42738713972767489</v>
      </c>
      <c r="AF19" s="47">
        <v>77.678100263852244</v>
      </c>
      <c r="AG19" s="47">
        <v>77.883597883597901</v>
      </c>
      <c r="AH19" s="47">
        <v>80</v>
      </c>
      <c r="AJ19" s="47">
        <f t="shared" si="17"/>
        <v>9822.3218997361473</v>
      </c>
      <c r="AK19" s="47">
        <f t="shared" si="18"/>
        <v>9822.1164021164022</v>
      </c>
      <c r="AL19" s="47">
        <f t="shared" si="19"/>
        <v>9820</v>
      </c>
      <c r="AO19" s="7">
        <f t="shared" si="20"/>
        <v>0.37465683140550032</v>
      </c>
      <c r="AP19" s="7">
        <f t="shared" si="21"/>
        <v>0.36550167530354777</v>
      </c>
      <c r="AQ19" s="7">
        <f t="shared" si="22"/>
        <v>0.405295315682281</v>
      </c>
    </row>
    <row r="20" spans="2:43" x14ac:dyDescent="0.25">
      <c r="B20" s="27" t="s">
        <v>53</v>
      </c>
      <c r="D20" s="7">
        <v>36.5</v>
      </c>
      <c r="E20" s="7">
        <v>45.6</v>
      </c>
      <c r="F20" s="7">
        <v>42.5</v>
      </c>
      <c r="G20" s="7"/>
      <c r="H20">
        <f t="shared" si="5"/>
        <v>3650</v>
      </c>
      <c r="I20">
        <f t="shared" si="6"/>
        <v>4560</v>
      </c>
      <c r="J20">
        <f t="shared" si="7"/>
        <v>4250</v>
      </c>
      <c r="L20" s="9">
        <v>9600</v>
      </c>
      <c r="M20" s="9">
        <v>9600</v>
      </c>
      <c r="N20" s="9">
        <v>9600</v>
      </c>
      <c r="Q20" s="7">
        <f t="shared" si="8"/>
        <v>0.38020833333333331</v>
      </c>
      <c r="R20" s="7">
        <f t="shared" si="9"/>
        <v>0.47499999999999998</v>
      </c>
      <c r="S20" s="7">
        <f t="shared" si="10"/>
        <v>0.44270833333333331</v>
      </c>
      <c r="U20" s="68">
        <v>587.6</v>
      </c>
      <c r="W20" s="48">
        <f t="shared" si="11"/>
        <v>9012.4</v>
      </c>
      <c r="X20" s="48">
        <f t="shared" si="12"/>
        <v>9012.4</v>
      </c>
      <c r="Y20" s="48">
        <f t="shared" si="13"/>
        <v>9012.4</v>
      </c>
      <c r="AB20" s="7">
        <f t="shared" si="14"/>
        <v>0.404997558918823</v>
      </c>
      <c r="AC20" s="7">
        <f t="shared" si="15"/>
        <v>0.50596955306022817</v>
      </c>
      <c r="AD20" s="7">
        <f t="shared" si="16"/>
        <v>0.47157250011095825</v>
      </c>
      <c r="AF20" s="47">
        <v>76.045977011494273</v>
      </c>
      <c r="AG20" s="47">
        <v>70.38297872340425</v>
      </c>
      <c r="AH20" s="47">
        <v>75.181818181818187</v>
      </c>
      <c r="AJ20" s="47">
        <f t="shared" si="17"/>
        <v>9523.954022988506</v>
      </c>
      <c r="AK20" s="47">
        <f t="shared" si="18"/>
        <v>9529.6170212765956</v>
      </c>
      <c r="AL20" s="47">
        <f t="shared" si="19"/>
        <v>9524.818181818182</v>
      </c>
      <c r="AO20" s="7">
        <f t="shared" si="20"/>
        <v>0.38324418526063742</v>
      </c>
      <c r="AP20" s="7">
        <f t="shared" si="21"/>
        <v>0.47850821180105918</v>
      </c>
      <c r="AQ20" s="7">
        <f t="shared" si="22"/>
        <v>0.44620274307311997</v>
      </c>
    </row>
    <row r="21" spans="2:43" x14ac:dyDescent="0.25">
      <c r="B21" s="27" t="s">
        <v>55</v>
      </c>
      <c r="D21" s="7">
        <v>46.8</v>
      </c>
      <c r="E21" s="7">
        <v>50.8</v>
      </c>
      <c r="F21" s="7">
        <v>47.2</v>
      </c>
      <c r="G21" s="7"/>
      <c r="H21">
        <f t="shared" si="5"/>
        <v>4680</v>
      </c>
      <c r="I21">
        <f t="shared" si="6"/>
        <v>5080</v>
      </c>
      <c r="J21">
        <f t="shared" si="7"/>
        <v>4720</v>
      </c>
      <c r="L21" s="9">
        <v>8400</v>
      </c>
      <c r="M21" s="9">
        <v>8400</v>
      </c>
      <c r="N21" s="9">
        <v>8400</v>
      </c>
      <c r="Q21" s="7">
        <f t="shared" si="8"/>
        <v>0.55714285714285716</v>
      </c>
      <c r="R21" s="7">
        <f t="shared" si="9"/>
        <v>0.60476190476190472</v>
      </c>
      <c r="S21" s="7">
        <f t="shared" si="10"/>
        <v>0.56190476190476191</v>
      </c>
      <c r="U21" s="68">
        <v>587.6</v>
      </c>
      <c r="W21" s="48">
        <f t="shared" si="11"/>
        <v>7812.4</v>
      </c>
      <c r="X21" s="48">
        <f t="shared" si="12"/>
        <v>7812.4</v>
      </c>
      <c r="Y21" s="48">
        <f t="shared" si="13"/>
        <v>7812.4</v>
      </c>
      <c r="AB21" s="7">
        <f t="shared" si="14"/>
        <v>0.59904766781014795</v>
      </c>
      <c r="AC21" s="7">
        <f t="shared" si="15"/>
        <v>0.65024832317853676</v>
      </c>
      <c r="AD21" s="7">
        <f t="shared" si="16"/>
        <v>0.60416773334698692</v>
      </c>
      <c r="AF21" s="47">
        <v>68.850855745721276</v>
      </c>
      <c r="AG21" s="47">
        <v>67.368421052631589</v>
      </c>
      <c r="AH21" s="47">
        <v>65.185185185185176</v>
      </c>
      <c r="AJ21" s="47">
        <f t="shared" si="17"/>
        <v>8331.1491442542792</v>
      </c>
      <c r="AK21" s="47">
        <f t="shared" si="18"/>
        <v>8332.6315789473683</v>
      </c>
      <c r="AL21" s="47">
        <f t="shared" si="19"/>
        <v>8334.8148148148157</v>
      </c>
      <c r="AO21" s="7">
        <f t="shared" si="20"/>
        <v>0.56174723546122596</v>
      </c>
      <c r="AP21" s="7">
        <f t="shared" si="21"/>
        <v>0.60965133906013136</v>
      </c>
      <c r="AQ21" s="7">
        <f t="shared" si="22"/>
        <v>0.56629932456452181</v>
      </c>
    </row>
    <row r="22" spans="2:43" x14ac:dyDescent="0.25">
      <c r="B22" s="27" t="s">
        <v>56</v>
      </c>
      <c r="D22" s="7">
        <v>37.9</v>
      </c>
      <c r="E22" s="7">
        <v>37.799999999999997</v>
      </c>
      <c r="F22" s="7">
        <v>36.799999999999997</v>
      </c>
      <c r="G22" s="7"/>
      <c r="H22">
        <f t="shared" si="5"/>
        <v>3790</v>
      </c>
      <c r="I22">
        <f t="shared" si="6"/>
        <v>3779.9999999999995</v>
      </c>
      <c r="J22">
        <f t="shared" si="7"/>
        <v>3679.9999999999995</v>
      </c>
      <c r="L22" s="9">
        <v>9200</v>
      </c>
      <c r="M22" s="9">
        <v>9200</v>
      </c>
      <c r="N22" s="9">
        <v>9200</v>
      </c>
      <c r="Q22" s="7">
        <f t="shared" si="8"/>
        <v>0.41195652173913044</v>
      </c>
      <c r="R22" s="7">
        <f t="shared" si="9"/>
        <v>0.41086956521739126</v>
      </c>
      <c r="S22" s="7">
        <f t="shared" si="10"/>
        <v>0.39999999999999997</v>
      </c>
      <c r="U22" s="68">
        <v>587.6</v>
      </c>
      <c r="W22" s="48">
        <f t="shared" si="11"/>
        <v>8612.4</v>
      </c>
      <c r="X22" s="48">
        <f t="shared" si="12"/>
        <v>8612.4</v>
      </c>
      <c r="Y22" s="48">
        <f t="shared" si="13"/>
        <v>8612.4</v>
      </c>
      <c r="AB22" s="7">
        <f t="shared" si="14"/>
        <v>0.44006316473921325</v>
      </c>
      <c r="AC22" s="7">
        <f t="shared" si="15"/>
        <v>0.4389020482095583</v>
      </c>
      <c r="AD22" s="7">
        <f t="shared" si="16"/>
        <v>0.4272908829130091</v>
      </c>
      <c r="AF22" s="47">
        <v>84.164383561643845</v>
      </c>
      <c r="AG22" s="47">
        <v>67.368421052631575</v>
      </c>
      <c r="AH22" s="47">
        <v>72.282352941176484</v>
      </c>
      <c r="AJ22" s="47">
        <f t="shared" si="17"/>
        <v>9115.8356164383567</v>
      </c>
      <c r="AK22" s="47">
        <f t="shared" si="18"/>
        <v>9132.6315789473683</v>
      </c>
      <c r="AL22" s="47">
        <f t="shared" si="19"/>
        <v>9127.7176470588238</v>
      </c>
      <c r="AO22" s="7">
        <f t="shared" si="20"/>
        <v>0.41576002019667713</v>
      </c>
      <c r="AP22" s="7">
        <f t="shared" si="21"/>
        <v>0.41390041493775931</v>
      </c>
      <c r="AQ22" s="7">
        <f t="shared" si="22"/>
        <v>0.40316759811098962</v>
      </c>
    </row>
    <row r="23" spans="2:43" x14ac:dyDescent="0.25">
      <c r="B23" s="27" t="s">
        <v>57</v>
      </c>
      <c r="D23" s="7">
        <v>40.9</v>
      </c>
      <c r="E23" s="7">
        <v>41.8</v>
      </c>
      <c r="F23" s="7">
        <v>43.2</v>
      </c>
      <c r="G23" s="7"/>
      <c r="H23">
        <f t="shared" si="5"/>
        <v>4090</v>
      </c>
      <c r="I23">
        <f t="shared" si="6"/>
        <v>4180</v>
      </c>
      <c r="J23">
        <f t="shared" si="7"/>
        <v>4320</v>
      </c>
      <c r="L23" s="9">
        <v>8800</v>
      </c>
      <c r="M23" s="9">
        <v>8800</v>
      </c>
      <c r="N23" s="9">
        <v>8800</v>
      </c>
      <c r="Q23" s="7">
        <f t="shared" si="8"/>
        <v>0.46477272727272728</v>
      </c>
      <c r="R23" s="7">
        <f t="shared" si="9"/>
        <v>0.47499999999999998</v>
      </c>
      <c r="S23" s="7">
        <f t="shared" si="10"/>
        <v>0.49090909090909091</v>
      </c>
      <c r="U23" s="68">
        <v>587.6</v>
      </c>
      <c r="W23" s="48">
        <f t="shared" si="11"/>
        <v>8212.4</v>
      </c>
      <c r="X23" s="48">
        <f t="shared" si="12"/>
        <v>8212.4</v>
      </c>
      <c r="Y23" s="48">
        <f t="shared" si="13"/>
        <v>8212.4</v>
      </c>
      <c r="AB23" s="7">
        <f t="shared" si="14"/>
        <v>0.49802737324046564</v>
      </c>
      <c r="AC23" s="7">
        <f t="shared" si="15"/>
        <v>0.50898641079343432</v>
      </c>
      <c r="AD23" s="7">
        <f t="shared" si="16"/>
        <v>0.52603380254249676</v>
      </c>
      <c r="AF23" s="47">
        <v>68.284518828451894</v>
      </c>
      <c r="AG23" s="47">
        <v>69.743589743589752</v>
      </c>
      <c r="AH23" s="47">
        <v>72.857142857142875</v>
      </c>
      <c r="AJ23" s="47">
        <f t="shared" si="17"/>
        <v>8731.7154811715482</v>
      </c>
      <c r="AK23" s="47">
        <f t="shared" si="18"/>
        <v>8730.2564102564102</v>
      </c>
      <c r="AL23" s="47">
        <f t="shared" si="19"/>
        <v>8727.1428571428569</v>
      </c>
      <c r="AO23" s="7">
        <f t="shared" si="20"/>
        <v>0.4684073832707199</v>
      </c>
      <c r="AP23" s="7">
        <f t="shared" si="21"/>
        <v>0.47879464285714285</v>
      </c>
      <c r="AQ23" s="7">
        <f t="shared" si="22"/>
        <v>0.49500736618104435</v>
      </c>
    </row>
    <row r="24" spans="2:43" x14ac:dyDescent="0.25">
      <c r="B24" s="27" t="s">
        <v>58</v>
      </c>
      <c r="D24" s="7">
        <v>34.799999999999997</v>
      </c>
      <c r="E24" s="7">
        <v>37.6</v>
      </c>
      <c r="F24" s="7">
        <v>35.200000000000003</v>
      </c>
      <c r="G24" s="7"/>
      <c r="H24">
        <f t="shared" si="5"/>
        <v>3479.9999999999995</v>
      </c>
      <c r="I24">
        <f t="shared" si="6"/>
        <v>3760</v>
      </c>
      <c r="J24">
        <f t="shared" si="7"/>
        <v>3520.0000000000005</v>
      </c>
      <c r="L24" s="9">
        <v>8270</v>
      </c>
      <c r="M24" s="9">
        <v>8270</v>
      </c>
      <c r="N24" s="9">
        <v>8270</v>
      </c>
      <c r="Q24" s="7">
        <f t="shared" si="8"/>
        <v>0.42079806529625147</v>
      </c>
      <c r="R24" s="7">
        <f t="shared" si="9"/>
        <v>0.45465538089480051</v>
      </c>
      <c r="S24" s="7">
        <f t="shared" si="10"/>
        <v>0.42563482466747282</v>
      </c>
      <c r="U24" s="68">
        <v>587.6</v>
      </c>
      <c r="W24" s="48">
        <f t="shared" si="11"/>
        <v>7682.4</v>
      </c>
      <c r="X24" s="48">
        <f t="shared" si="12"/>
        <v>7682.4</v>
      </c>
      <c r="Y24" s="48">
        <f t="shared" si="13"/>
        <v>7682.4</v>
      </c>
      <c r="AB24" s="7">
        <f t="shared" si="14"/>
        <v>0.45298344267416429</v>
      </c>
      <c r="AC24" s="7">
        <f t="shared" si="15"/>
        <v>0.48943038633760283</v>
      </c>
      <c r="AD24" s="7">
        <f t="shared" si="16"/>
        <v>0.45819014891179849</v>
      </c>
      <c r="AF24" s="47">
        <v>57.435897435897438</v>
      </c>
      <c r="AG24" s="47">
        <v>52.913385826771652</v>
      </c>
      <c r="AH24" s="47">
        <v>56.949152542372879</v>
      </c>
      <c r="AJ24" s="47">
        <f t="shared" si="17"/>
        <v>8212.5641025641035</v>
      </c>
      <c r="AK24" s="47">
        <f t="shared" si="18"/>
        <v>8217.0866141732276</v>
      </c>
      <c r="AL24" s="47">
        <f t="shared" si="19"/>
        <v>8213.0508474576272</v>
      </c>
      <c r="AO24" s="7">
        <f t="shared" si="20"/>
        <v>0.42374098473258598</v>
      </c>
      <c r="AP24" s="7">
        <f t="shared" si="21"/>
        <v>0.45758310415209336</v>
      </c>
      <c r="AQ24" s="7">
        <f t="shared" si="22"/>
        <v>0.42858616918092335</v>
      </c>
    </row>
    <row r="26" spans="2:43" x14ac:dyDescent="0.25">
      <c r="E26" s="49" t="s">
        <v>74</v>
      </c>
      <c r="M26" s="49" t="s">
        <v>68</v>
      </c>
      <c r="R26" s="35" t="s">
        <v>117</v>
      </c>
      <c r="U26" s="68"/>
      <c r="V26" s="66" t="s">
        <v>75</v>
      </c>
      <c r="W26" s="66"/>
      <c r="X26" s="66"/>
      <c r="Y26" s="66"/>
      <c r="Z26" s="66" t="s">
        <v>76</v>
      </c>
      <c r="AA26" s="66"/>
      <c r="AB26" s="66"/>
      <c r="AC26" s="66"/>
      <c r="AD26" s="66" t="s">
        <v>77</v>
      </c>
      <c r="AE26" s="68"/>
      <c r="AJ26" s="49"/>
      <c r="AK26" s="49" t="s">
        <v>72</v>
      </c>
      <c r="AL26" s="49"/>
    </row>
    <row r="27" spans="2:43" x14ac:dyDescent="0.25">
      <c r="C27" s="27" t="s">
        <v>22</v>
      </c>
      <c r="D27">
        <f>D7/10</f>
        <v>2.65</v>
      </c>
      <c r="E27">
        <f t="shared" ref="E27:F27" si="23">E7/10</f>
        <v>2.3600000000000003</v>
      </c>
      <c r="F27">
        <f t="shared" si="23"/>
        <v>2.1559999999999997</v>
      </c>
      <c r="K27" s="27" t="s">
        <v>22</v>
      </c>
      <c r="L27" s="47">
        <f>(L7/1000)*10000</f>
        <v>125000</v>
      </c>
      <c r="M27" s="47">
        <f t="shared" ref="M27:N27" si="24">(M7/1000)*10000</f>
        <v>125000</v>
      </c>
      <c r="N27" s="47">
        <f t="shared" si="24"/>
        <v>125000</v>
      </c>
      <c r="Q27" s="48">
        <v>4716.9811320754716</v>
      </c>
      <c r="R27" s="48">
        <v>5296.6101694915251</v>
      </c>
      <c r="S27" s="48">
        <v>5797.7736549165129</v>
      </c>
      <c r="U27" s="69">
        <f>(Q27*93.62)/100</f>
        <v>4416.0377358490568</v>
      </c>
      <c r="V27" s="69">
        <f t="shared" ref="V27:W27" si="25">(R27*93.62)/100</f>
        <v>4958.6864406779659</v>
      </c>
      <c r="W27" s="69">
        <f t="shared" si="25"/>
        <v>5427.8756957328405</v>
      </c>
      <c r="X27" s="68"/>
      <c r="Y27" s="70">
        <f>(Q27*6.3)/100</f>
        <v>297.16981132075472</v>
      </c>
      <c r="Z27" s="70">
        <f t="shared" ref="Z27:AA27" si="26">(R27*6.3)/100</f>
        <v>333.68644067796612</v>
      </c>
      <c r="AA27" s="70">
        <f t="shared" si="26"/>
        <v>365.25974025974028</v>
      </c>
      <c r="AB27" s="68"/>
      <c r="AC27" s="70">
        <f>(Q27-(U27+Y27))</f>
        <v>3.7735849056598454</v>
      </c>
      <c r="AD27" s="70">
        <f t="shared" ref="AD27:AE27" si="27">(R27-(V27+Z27))</f>
        <v>4.2372881355931895</v>
      </c>
      <c r="AE27" s="70">
        <f t="shared" si="27"/>
        <v>4.6382189239320724</v>
      </c>
      <c r="AK27" s="35" t="s">
        <v>67</v>
      </c>
    </row>
    <row r="28" spans="2:43" x14ac:dyDescent="0.25">
      <c r="C28" s="27" t="s">
        <v>24</v>
      </c>
      <c r="D28">
        <f t="shared" ref="D28:F28" si="28">D8/10</f>
        <v>3.8899999999999997</v>
      </c>
      <c r="E28">
        <f t="shared" si="28"/>
        <v>4.2200000000000006</v>
      </c>
      <c r="F28">
        <f t="shared" si="28"/>
        <v>4.3499999999999996</v>
      </c>
      <c r="K28" s="27" t="s">
        <v>24</v>
      </c>
      <c r="L28" s="47">
        <f t="shared" ref="L28:N28" si="29">(L8/1000)*10000</f>
        <v>120000</v>
      </c>
      <c r="M28" s="47">
        <f t="shared" si="29"/>
        <v>120000</v>
      </c>
      <c r="N28" s="47">
        <f t="shared" si="29"/>
        <v>120000</v>
      </c>
      <c r="Q28" s="48">
        <v>3031.0880829015541</v>
      </c>
      <c r="R28" s="48">
        <v>3095.2380952380954</v>
      </c>
      <c r="S28" s="48">
        <v>3232.0441988950274</v>
      </c>
      <c r="U28" s="69">
        <f t="shared" ref="U28:U44" si="30">(Q28*93.62)/100</f>
        <v>2837.7046632124348</v>
      </c>
      <c r="V28" s="69">
        <f t="shared" ref="V28:V44" si="31">(R28*93.62)/100</f>
        <v>2897.7619047619055</v>
      </c>
      <c r="W28" s="69">
        <f t="shared" ref="W28:W44" si="32">(S28*93.62)/100</f>
        <v>3025.8397790055251</v>
      </c>
      <c r="X28" s="68"/>
      <c r="Y28" s="70">
        <f t="shared" ref="Y28:Y44" si="33">(Q28*6.3)/100</f>
        <v>190.95854922279793</v>
      </c>
      <c r="Z28" s="70">
        <f t="shared" ref="Z28:Z44" si="34">(R28*6.3)/100</f>
        <v>195</v>
      </c>
      <c r="AA28" s="70">
        <f t="shared" ref="AA28:AA44" si="35">(S28*6.3)/100</f>
        <v>203.61878453038673</v>
      </c>
      <c r="AB28" s="68"/>
      <c r="AC28" s="70">
        <f t="shared" ref="AC28:AC44" si="36">(Q28-(U28+Y28))</f>
        <v>2.4248704663214085</v>
      </c>
      <c r="AD28" s="70">
        <f t="shared" ref="AD28:AD44" si="37">(R28-(V28+Z28))</f>
        <v>2.4761904761899132</v>
      </c>
      <c r="AE28" s="70">
        <f t="shared" ref="AE28:AE44" si="38">(S28-(W28+AA28))</f>
        <v>2.5856353591157131</v>
      </c>
      <c r="AJ28" s="69">
        <v>1250</v>
      </c>
      <c r="AK28" s="69">
        <v>1250</v>
      </c>
      <c r="AL28" s="69">
        <v>1250</v>
      </c>
    </row>
    <row r="29" spans="2:43" x14ac:dyDescent="0.25">
      <c r="C29" s="27" t="s">
        <v>31</v>
      </c>
      <c r="D29">
        <f t="shared" ref="D29:F29" si="39">D9/10</f>
        <v>4.8600000000000003</v>
      </c>
      <c r="E29">
        <f t="shared" si="39"/>
        <v>4.7560000000000002</v>
      </c>
      <c r="F29">
        <f t="shared" si="39"/>
        <v>4.58</v>
      </c>
      <c r="K29" s="27" t="s">
        <v>31</v>
      </c>
      <c r="L29" s="47">
        <f t="shared" ref="L29:N29" si="40">(L9/1000)*10000</f>
        <v>119000</v>
      </c>
      <c r="M29" s="47">
        <f t="shared" si="40"/>
        <v>119000</v>
      </c>
      <c r="N29" s="47">
        <f t="shared" si="40"/>
        <v>119000</v>
      </c>
      <c r="Q29" s="48">
        <v>3084.8329048843189</v>
      </c>
      <c r="R29" s="48">
        <v>2843.6018957345968</v>
      </c>
      <c r="S29" s="48">
        <v>2758.6206896551726</v>
      </c>
      <c r="U29" s="69">
        <f t="shared" si="30"/>
        <v>2888.0205655526993</v>
      </c>
      <c r="V29" s="69">
        <f t="shared" si="31"/>
        <v>2662.18009478673</v>
      </c>
      <c r="W29" s="69">
        <f t="shared" si="32"/>
        <v>2582.6206896551726</v>
      </c>
      <c r="X29" s="68"/>
      <c r="Y29" s="70">
        <f t="shared" si="33"/>
        <v>194.34447300771208</v>
      </c>
      <c r="Z29" s="70">
        <f t="shared" si="34"/>
        <v>179.1469194312796</v>
      </c>
      <c r="AA29" s="70">
        <f t="shared" si="35"/>
        <v>173.79310344827587</v>
      </c>
      <c r="AB29" s="68"/>
      <c r="AC29" s="70">
        <f t="shared" si="36"/>
        <v>2.4678663239074012</v>
      </c>
      <c r="AD29" s="70">
        <f t="shared" si="37"/>
        <v>2.2748815165873566</v>
      </c>
      <c r="AE29" s="70">
        <f t="shared" si="38"/>
        <v>2.206896551724185</v>
      </c>
      <c r="AJ29" s="69">
        <v>1200</v>
      </c>
      <c r="AK29" s="69">
        <v>1200</v>
      </c>
      <c r="AL29" s="69">
        <v>1200</v>
      </c>
    </row>
    <row r="30" spans="2:43" x14ac:dyDescent="0.25">
      <c r="C30" s="27" t="s">
        <v>34</v>
      </c>
      <c r="D30">
        <f t="shared" ref="D30:F30" si="41">D10/10</f>
        <v>3.8600000000000003</v>
      </c>
      <c r="E30">
        <f t="shared" si="41"/>
        <v>3.78</v>
      </c>
      <c r="F30">
        <f t="shared" si="41"/>
        <v>3.62</v>
      </c>
      <c r="K30" s="27" t="s">
        <v>34</v>
      </c>
      <c r="L30" s="47">
        <f t="shared" ref="L30:N30" si="42">(L10/1000)*10000</f>
        <v>117000</v>
      </c>
      <c r="M30" s="47">
        <f t="shared" si="42"/>
        <v>117000</v>
      </c>
      <c r="N30" s="47">
        <f t="shared" si="42"/>
        <v>117000</v>
      </c>
      <c r="Q30" s="48">
        <v>2761.1940298507466</v>
      </c>
      <c r="R30" s="48">
        <v>2810.1265822784812</v>
      </c>
      <c r="S30" s="48">
        <v>2853.4704370179957</v>
      </c>
      <c r="U30" s="69">
        <f t="shared" si="30"/>
        <v>2585.0298507462689</v>
      </c>
      <c r="V30" s="69">
        <f t="shared" si="31"/>
        <v>2630.8405063291143</v>
      </c>
      <c r="W30" s="69">
        <f t="shared" si="32"/>
        <v>2671.4190231362472</v>
      </c>
      <c r="X30" s="68"/>
      <c r="Y30" s="70">
        <f t="shared" si="33"/>
        <v>173.95522388059703</v>
      </c>
      <c r="Z30" s="70">
        <f t="shared" si="34"/>
        <v>177.03797468354432</v>
      </c>
      <c r="AA30" s="70">
        <f t="shared" si="35"/>
        <v>179.76863753213374</v>
      </c>
      <c r="AB30" s="68"/>
      <c r="AC30" s="70">
        <f t="shared" si="36"/>
        <v>2.208955223880821</v>
      </c>
      <c r="AD30" s="70">
        <f t="shared" si="37"/>
        <v>2.2481012658226973</v>
      </c>
      <c r="AE30" s="70">
        <f t="shared" si="38"/>
        <v>2.2827763496147782</v>
      </c>
      <c r="AJ30" s="69">
        <v>1190</v>
      </c>
      <c r="AK30" s="69">
        <v>1190</v>
      </c>
      <c r="AL30" s="69">
        <v>1190</v>
      </c>
    </row>
    <row r="31" spans="2:43" x14ac:dyDescent="0.25">
      <c r="C31" s="27" t="s">
        <v>38</v>
      </c>
      <c r="D31">
        <f t="shared" ref="D31:F31" si="43">D11/10</f>
        <v>4.58</v>
      </c>
      <c r="E31">
        <f t="shared" si="43"/>
        <v>4.76</v>
      </c>
      <c r="F31">
        <f t="shared" si="43"/>
        <v>4.45</v>
      </c>
      <c r="K31" s="27" t="s">
        <v>38</v>
      </c>
      <c r="L31" s="47">
        <f t="shared" ref="L31:N31" si="44">(L11/1000)*10000</f>
        <v>115000</v>
      </c>
      <c r="M31" s="47">
        <f t="shared" si="44"/>
        <v>115000</v>
      </c>
      <c r="N31" s="47">
        <f t="shared" si="44"/>
        <v>115000</v>
      </c>
      <c r="Q31" s="48">
        <v>2876.7123287671234</v>
      </c>
      <c r="R31" s="48">
        <v>2941.1764705882351</v>
      </c>
      <c r="S31" s="48">
        <v>3017.2413793103451</v>
      </c>
      <c r="U31" s="69">
        <f t="shared" si="30"/>
        <v>2693.178082191781</v>
      </c>
      <c r="V31" s="69">
        <f t="shared" si="31"/>
        <v>2753.5294117647059</v>
      </c>
      <c r="W31" s="69">
        <f t="shared" si="32"/>
        <v>2824.7413793103456</v>
      </c>
      <c r="X31" s="68"/>
      <c r="Y31" s="70">
        <f t="shared" si="33"/>
        <v>181.23287671232876</v>
      </c>
      <c r="Z31" s="70">
        <f t="shared" si="34"/>
        <v>185.29411764705881</v>
      </c>
      <c r="AA31" s="70">
        <f t="shared" si="35"/>
        <v>190.08620689655174</v>
      </c>
      <c r="AB31" s="68"/>
      <c r="AC31" s="70">
        <f t="shared" si="36"/>
        <v>2.3013698630138606</v>
      </c>
      <c r="AD31" s="70">
        <f t="shared" si="37"/>
        <v>2.3529411764702672</v>
      </c>
      <c r="AE31" s="70">
        <f t="shared" si="38"/>
        <v>2.4137931034479152</v>
      </c>
      <c r="AJ31" s="69">
        <v>1170</v>
      </c>
      <c r="AK31" s="69">
        <v>1170</v>
      </c>
      <c r="AL31" s="69">
        <v>1170</v>
      </c>
    </row>
    <row r="32" spans="2:43" x14ac:dyDescent="0.25">
      <c r="C32" s="27" t="s">
        <v>40</v>
      </c>
      <c r="D32">
        <f t="shared" ref="D32:F32" si="45">D12/10</f>
        <v>5.18</v>
      </c>
      <c r="E32">
        <f t="shared" si="45"/>
        <v>4.9799999999999995</v>
      </c>
      <c r="F32">
        <f t="shared" si="45"/>
        <v>4.7799999999999994</v>
      </c>
      <c r="K32" s="27" t="s">
        <v>40</v>
      </c>
      <c r="L32" s="47">
        <f t="shared" ref="L32:N32" si="46">(L12/1000)*10000</f>
        <v>106000</v>
      </c>
      <c r="M32" s="47">
        <f t="shared" si="46"/>
        <v>106000</v>
      </c>
      <c r="N32" s="47">
        <f t="shared" si="46"/>
        <v>106000</v>
      </c>
      <c r="Q32" s="48">
        <v>2505.7471264367819</v>
      </c>
      <c r="R32" s="48">
        <v>2564.705882352941</v>
      </c>
      <c r="S32" s="48">
        <v>2601.4319809069216</v>
      </c>
      <c r="U32" s="69">
        <f t="shared" si="30"/>
        <v>2345.8804597701151</v>
      </c>
      <c r="V32" s="69">
        <f t="shared" si="31"/>
        <v>2401.0776470588235</v>
      </c>
      <c r="W32" s="69">
        <f t="shared" si="32"/>
        <v>2435.4606205250602</v>
      </c>
      <c r="X32" s="68"/>
      <c r="Y32" s="70">
        <f t="shared" si="33"/>
        <v>157.86206896551724</v>
      </c>
      <c r="Z32" s="70">
        <f t="shared" si="34"/>
        <v>161.57647058823528</v>
      </c>
      <c r="AA32" s="70">
        <f t="shared" si="35"/>
        <v>163.89021479713608</v>
      </c>
      <c r="AB32" s="68"/>
      <c r="AC32" s="70">
        <f t="shared" si="36"/>
        <v>2.0045977011495779</v>
      </c>
      <c r="AD32" s="70">
        <f t="shared" si="37"/>
        <v>2.0517647058823059</v>
      </c>
      <c r="AE32" s="70">
        <f t="shared" si="38"/>
        <v>2.0811455847251636</v>
      </c>
      <c r="AJ32" s="69">
        <v>1150</v>
      </c>
      <c r="AK32" s="69">
        <v>1150</v>
      </c>
      <c r="AL32" s="69">
        <v>1150</v>
      </c>
    </row>
    <row r="33" spans="3:48" x14ac:dyDescent="0.25">
      <c r="C33" s="27" t="s">
        <v>42</v>
      </c>
      <c r="D33">
        <f t="shared" ref="D33:F33" si="47">D13/10</f>
        <v>4.0200000000000005</v>
      </c>
      <c r="E33">
        <f t="shared" si="47"/>
        <v>3.95</v>
      </c>
      <c r="F33">
        <f t="shared" si="47"/>
        <v>3.8899999999999997</v>
      </c>
      <c r="K33" s="27" t="s">
        <v>42</v>
      </c>
      <c r="L33" s="47">
        <f t="shared" ref="L33:N33" si="48">(L13/1000)*10000</f>
        <v>111000.00000000001</v>
      </c>
      <c r="M33" s="47">
        <f t="shared" si="48"/>
        <v>111000.00000000001</v>
      </c>
      <c r="N33" s="47">
        <f t="shared" si="48"/>
        <v>111000.00000000001</v>
      </c>
      <c r="Q33" s="48">
        <v>2510.9170305676857</v>
      </c>
      <c r="R33" s="48">
        <v>2415.9663865546217</v>
      </c>
      <c r="S33" s="48">
        <v>2584.2696629213483</v>
      </c>
      <c r="U33" s="69">
        <f t="shared" si="30"/>
        <v>2350.7205240174676</v>
      </c>
      <c r="V33" s="69">
        <f t="shared" si="31"/>
        <v>2261.8277310924368</v>
      </c>
      <c r="W33" s="69">
        <f t="shared" si="32"/>
        <v>2419.3932584269664</v>
      </c>
      <c r="X33" s="68"/>
      <c r="Y33" s="70">
        <f t="shared" si="33"/>
        <v>158.18777292576419</v>
      </c>
      <c r="Z33" s="70">
        <f t="shared" si="34"/>
        <v>152.20588235294116</v>
      </c>
      <c r="AA33" s="70">
        <f t="shared" si="35"/>
        <v>162.80898876404493</v>
      </c>
      <c r="AB33" s="68"/>
      <c r="AC33" s="70">
        <f t="shared" si="36"/>
        <v>2.0087336244537255</v>
      </c>
      <c r="AD33" s="70">
        <f t="shared" si="37"/>
        <v>1.9327731092439535</v>
      </c>
      <c r="AE33" s="70">
        <f t="shared" si="38"/>
        <v>2.0674157303369611</v>
      </c>
      <c r="AJ33" s="69">
        <v>1060</v>
      </c>
      <c r="AK33" s="69">
        <v>1060</v>
      </c>
      <c r="AL33" s="69">
        <v>1060</v>
      </c>
    </row>
    <row r="34" spans="3:48" x14ac:dyDescent="0.25">
      <c r="C34" s="27" t="s">
        <v>44</v>
      </c>
      <c r="D34">
        <f t="shared" ref="D34:F34" si="49">D14/10</f>
        <v>4.3499999999999996</v>
      </c>
      <c r="E34">
        <f t="shared" si="49"/>
        <v>4.25</v>
      </c>
      <c r="F34">
        <f t="shared" si="49"/>
        <v>4.1899999999999995</v>
      </c>
      <c r="K34" s="27" t="s">
        <v>44</v>
      </c>
      <c r="L34" s="47">
        <f t="shared" ref="L34:N34" si="50">(L14/1000)*10000</f>
        <v>109000</v>
      </c>
      <c r="M34" s="47">
        <f t="shared" si="50"/>
        <v>109000</v>
      </c>
      <c r="N34" s="47">
        <f t="shared" si="50"/>
        <v>109000</v>
      </c>
      <c r="Q34" s="48">
        <v>2448.5596707818927</v>
      </c>
      <c r="R34" s="48">
        <v>2502.1026072329687</v>
      </c>
      <c r="S34" s="48">
        <v>2598.2532751091703</v>
      </c>
      <c r="U34" s="69">
        <f t="shared" si="30"/>
        <v>2292.341563786008</v>
      </c>
      <c r="V34" s="69">
        <f t="shared" si="31"/>
        <v>2342.4684608915054</v>
      </c>
      <c r="W34" s="69">
        <f t="shared" si="32"/>
        <v>2432.4847161572052</v>
      </c>
      <c r="X34" s="68"/>
      <c r="Y34" s="70">
        <f t="shared" si="33"/>
        <v>154.25925925925924</v>
      </c>
      <c r="Z34" s="70">
        <f t="shared" si="34"/>
        <v>157.63246425567704</v>
      </c>
      <c r="AA34" s="70">
        <f t="shared" si="35"/>
        <v>163.68995633187774</v>
      </c>
      <c r="AB34" s="68"/>
      <c r="AC34" s="70">
        <f t="shared" si="36"/>
        <v>1.9588477366255574</v>
      </c>
      <c r="AD34" s="70">
        <f t="shared" si="37"/>
        <v>2.0016820857863422</v>
      </c>
      <c r="AE34" s="70">
        <f t="shared" si="38"/>
        <v>2.0786026200876222</v>
      </c>
      <c r="AJ34" s="69">
        <v>1110</v>
      </c>
      <c r="AK34" s="69">
        <v>1110</v>
      </c>
      <c r="AL34" s="69">
        <v>1110</v>
      </c>
    </row>
    <row r="35" spans="3:48" x14ac:dyDescent="0.25">
      <c r="C35" s="27" t="s">
        <v>46</v>
      </c>
      <c r="D35">
        <f t="shared" ref="D35:F35" si="51">D15/10</f>
        <v>3.65</v>
      </c>
      <c r="E35">
        <f t="shared" si="51"/>
        <v>3.5700000000000003</v>
      </c>
      <c r="F35">
        <f t="shared" si="51"/>
        <v>3.4799999999999995</v>
      </c>
      <c r="K35" s="27" t="s">
        <v>46</v>
      </c>
      <c r="L35" s="47">
        <f t="shared" ref="L35:N35" si="52">(L15/1000)*10000</f>
        <v>105000</v>
      </c>
      <c r="M35" s="47">
        <f t="shared" si="52"/>
        <v>105000</v>
      </c>
      <c r="N35" s="47">
        <f t="shared" si="52"/>
        <v>105000</v>
      </c>
      <c r="Q35" s="48">
        <v>2046.3320463320465</v>
      </c>
      <c r="R35" s="48">
        <v>2128.5140562248998</v>
      </c>
      <c r="S35" s="48">
        <v>2217.5732217573227</v>
      </c>
      <c r="U35" s="69">
        <f t="shared" si="30"/>
        <v>1915.7760617760621</v>
      </c>
      <c r="V35" s="69">
        <f t="shared" si="31"/>
        <v>1992.7148594377513</v>
      </c>
      <c r="W35" s="69">
        <f t="shared" si="32"/>
        <v>2076.0920502092054</v>
      </c>
      <c r="X35" s="68"/>
      <c r="Y35" s="70">
        <f t="shared" si="33"/>
        <v>128.91891891891893</v>
      </c>
      <c r="Z35" s="70">
        <f t="shared" si="34"/>
        <v>134.09638554216869</v>
      </c>
      <c r="AA35" s="70">
        <f t="shared" si="35"/>
        <v>139.70711297071134</v>
      </c>
      <c r="AB35" s="68"/>
      <c r="AC35" s="70">
        <f t="shared" si="36"/>
        <v>1.6370656370654615</v>
      </c>
      <c r="AD35" s="70">
        <f t="shared" si="37"/>
        <v>1.7028112449797845</v>
      </c>
      <c r="AE35" s="70">
        <f t="shared" si="38"/>
        <v>1.7740585774058673</v>
      </c>
      <c r="AJ35" s="69">
        <v>1090</v>
      </c>
      <c r="AK35" s="69">
        <v>1090</v>
      </c>
      <c r="AL35" s="69">
        <v>1090</v>
      </c>
    </row>
    <row r="36" spans="3:48" x14ac:dyDescent="0.25">
      <c r="C36" s="27" t="s">
        <v>48</v>
      </c>
      <c r="D36">
        <f t="shared" ref="D36:F36" si="53">D16/10</f>
        <v>2.65</v>
      </c>
      <c r="E36">
        <f t="shared" si="53"/>
        <v>1.56</v>
      </c>
      <c r="F36">
        <f t="shared" si="53"/>
        <v>2.2600000000000002</v>
      </c>
      <c r="K36" s="27" t="s">
        <v>48</v>
      </c>
      <c r="L36" s="47">
        <f t="shared" ref="L36:N36" si="54">(L16/1000)*10000</f>
        <v>109000</v>
      </c>
      <c r="M36" s="47">
        <f t="shared" si="54"/>
        <v>109000</v>
      </c>
      <c r="N36" s="47">
        <f t="shared" si="54"/>
        <v>109000</v>
      </c>
      <c r="Q36" s="48">
        <v>4113.2075471698117</v>
      </c>
      <c r="R36" s="48">
        <v>6987.1794871794873</v>
      </c>
      <c r="S36" s="48">
        <v>4823.0088495575219</v>
      </c>
      <c r="U36" s="69">
        <f t="shared" si="30"/>
        <v>3850.7849056603777</v>
      </c>
      <c r="V36" s="69">
        <f t="shared" si="31"/>
        <v>6541.3974358974365</v>
      </c>
      <c r="W36" s="69">
        <f t="shared" si="32"/>
        <v>4515.3008849557527</v>
      </c>
      <c r="X36" s="68"/>
      <c r="Y36" s="70">
        <f t="shared" si="33"/>
        <v>259.1320754716981</v>
      </c>
      <c r="Z36" s="70">
        <f t="shared" si="34"/>
        <v>440.19230769230768</v>
      </c>
      <c r="AA36" s="70">
        <f t="shared" si="35"/>
        <v>303.84955752212386</v>
      </c>
      <c r="AB36" s="68"/>
      <c r="AC36" s="70">
        <f t="shared" si="36"/>
        <v>3.2905660377355161</v>
      </c>
      <c r="AD36" s="70">
        <f t="shared" si="37"/>
        <v>5.5897435897431933</v>
      </c>
      <c r="AE36" s="70">
        <f t="shared" si="38"/>
        <v>3.858407079645076</v>
      </c>
      <c r="AJ36" s="69">
        <v>1050</v>
      </c>
      <c r="AK36" s="69">
        <v>1050</v>
      </c>
      <c r="AL36" s="69">
        <v>1050</v>
      </c>
    </row>
    <row r="37" spans="3:48" x14ac:dyDescent="0.25">
      <c r="C37" s="27" t="s">
        <v>49</v>
      </c>
      <c r="D37">
        <f t="shared" ref="D37:F37" si="55">D17/10</f>
        <v>3.85</v>
      </c>
      <c r="E37">
        <f t="shared" si="55"/>
        <v>3.6399999999999997</v>
      </c>
      <c r="F37">
        <f t="shared" si="55"/>
        <v>3.78</v>
      </c>
      <c r="K37" s="27" t="s">
        <v>49</v>
      </c>
      <c r="L37" s="47">
        <f t="shared" ref="L37:N37" si="56">(L17/1000)*10000</f>
        <v>106000</v>
      </c>
      <c r="M37" s="47">
        <f t="shared" si="56"/>
        <v>106000</v>
      </c>
      <c r="N37" s="47">
        <f t="shared" si="56"/>
        <v>106000</v>
      </c>
      <c r="Q37" s="48">
        <v>2690.217391304348</v>
      </c>
      <c r="R37" s="48">
        <v>2757.6601671309195</v>
      </c>
      <c r="S37" s="48">
        <v>2487.4371859296484</v>
      </c>
      <c r="U37" s="69">
        <f t="shared" si="30"/>
        <v>2518.5815217391309</v>
      </c>
      <c r="V37" s="69">
        <f t="shared" si="31"/>
        <v>2581.7214484679671</v>
      </c>
      <c r="W37" s="69">
        <f t="shared" si="32"/>
        <v>2328.7386934673368</v>
      </c>
      <c r="X37" s="68"/>
      <c r="Y37" s="70">
        <f t="shared" si="33"/>
        <v>169.48369565217391</v>
      </c>
      <c r="Z37" s="70">
        <f t="shared" si="34"/>
        <v>173.73259052924794</v>
      </c>
      <c r="AA37" s="70">
        <f t="shared" si="35"/>
        <v>156.70854271356785</v>
      </c>
      <c r="AB37" s="68"/>
      <c r="AC37" s="70">
        <f t="shared" si="36"/>
        <v>2.1521739130430433</v>
      </c>
      <c r="AD37" s="70">
        <f t="shared" si="37"/>
        <v>2.2061281337046239</v>
      </c>
      <c r="AE37" s="70">
        <f t="shared" si="38"/>
        <v>1.9899497487435838</v>
      </c>
      <c r="AJ37" s="9">
        <v>1090</v>
      </c>
      <c r="AK37" s="9">
        <v>1090</v>
      </c>
      <c r="AL37" s="9">
        <v>1090</v>
      </c>
    </row>
    <row r="38" spans="3:48" x14ac:dyDescent="0.25">
      <c r="C38" s="27" t="s">
        <v>50</v>
      </c>
      <c r="D38">
        <f t="shared" ref="D38:F38" si="57">D18/10</f>
        <v>4.7799999999999994</v>
      </c>
      <c r="E38">
        <f t="shared" si="57"/>
        <v>4.68</v>
      </c>
      <c r="F38">
        <f t="shared" si="57"/>
        <v>4.4799999999999995</v>
      </c>
      <c r="K38" s="27" t="s">
        <v>50</v>
      </c>
      <c r="L38" s="47">
        <f t="shared" ref="L38:N38" si="58">(L18/1000)*10000</f>
        <v>102000</v>
      </c>
      <c r="M38" s="47">
        <f t="shared" si="58"/>
        <v>102000</v>
      </c>
      <c r="N38" s="47">
        <f t="shared" si="58"/>
        <v>102000</v>
      </c>
      <c r="Q38" s="48">
        <v>2753.2467532467531</v>
      </c>
      <c r="R38" s="48">
        <v>2912.0879120879122</v>
      </c>
      <c r="S38" s="48">
        <v>2804.2328042328045</v>
      </c>
      <c r="U38" s="69">
        <f t="shared" si="30"/>
        <v>2577.5896103896102</v>
      </c>
      <c r="V38" s="69">
        <f t="shared" si="31"/>
        <v>2726.2967032967035</v>
      </c>
      <c r="W38" s="69">
        <f t="shared" si="32"/>
        <v>2625.3227513227521</v>
      </c>
      <c r="X38" s="68"/>
      <c r="Y38" s="70">
        <f t="shared" si="33"/>
        <v>173.45454545454544</v>
      </c>
      <c r="Z38" s="70">
        <f t="shared" si="34"/>
        <v>183.46153846153848</v>
      </c>
      <c r="AA38" s="70">
        <f t="shared" si="35"/>
        <v>176.66666666666669</v>
      </c>
      <c r="AB38" s="68"/>
      <c r="AC38" s="70">
        <f t="shared" si="36"/>
        <v>2.2025974025973483</v>
      </c>
      <c r="AD38" s="70">
        <f t="shared" si="37"/>
        <v>2.3296703296700798</v>
      </c>
      <c r="AE38" s="70">
        <f t="shared" si="38"/>
        <v>2.2433862433858849</v>
      </c>
      <c r="AJ38" s="9">
        <v>1060</v>
      </c>
      <c r="AK38" s="9">
        <v>1060</v>
      </c>
      <c r="AL38" s="9">
        <v>1060</v>
      </c>
    </row>
    <row r="39" spans="3:48" x14ac:dyDescent="0.25">
      <c r="C39" s="27" t="s">
        <v>52</v>
      </c>
      <c r="D39">
        <f t="shared" ref="D39:F39" si="59">D19/10</f>
        <v>3.6799999999999997</v>
      </c>
      <c r="E39">
        <f t="shared" si="59"/>
        <v>3.59</v>
      </c>
      <c r="F39">
        <f t="shared" si="59"/>
        <v>3.9799999999999995</v>
      </c>
      <c r="K39" s="27" t="s">
        <v>52</v>
      </c>
      <c r="L39" s="47">
        <f t="shared" ref="L39:N39" si="60">(L19/1000)*10000</f>
        <v>99000</v>
      </c>
      <c r="M39" s="47">
        <f t="shared" si="60"/>
        <v>99000</v>
      </c>
      <c r="N39" s="47">
        <f t="shared" si="60"/>
        <v>99000</v>
      </c>
      <c r="Q39" s="48">
        <v>2427.4406332453827</v>
      </c>
      <c r="R39" s="48">
        <v>2433.862433862434</v>
      </c>
      <c r="S39" s="48">
        <v>2500</v>
      </c>
      <c r="U39" s="69">
        <f t="shared" si="30"/>
        <v>2272.5699208443275</v>
      </c>
      <c r="V39" s="69">
        <f t="shared" si="31"/>
        <v>2278.5820105820108</v>
      </c>
      <c r="W39" s="69">
        <f t="shared" si="32"/>
        <v>2340.5</v>
      </c>
      <c r="X39" s="68"/>
      <c r="Y39" s="70">
        <f t="shared" si="33"/>
        <v>152.92875989445912</v>
      </c>
      <c r="Z39" s="70">
        <f t="shared" si="34"/>
        <v>153.33333333333334</v>
      </c>
      <c r="AA39" s="70">
        <f t="shared" si="35"/>
        <v>157.5</v>
      </c>
      <c r="AB39" s="68"/>
      <c r="AC39" s="70">
        <f t="shared" si="36"/>
        <v>1.9419525065959533</v>
      </c>
      <c r="AD39" s="70">
        <f t="shared" si="37"/>
        <v>1.9470899470898075</v>
      </c>
      <c r="AE39" s="70">
        <f t="shared" si="38"/>
        <v>2</v>
      </c>
      <c r="AJ39" s="9">
        <v>1020</v>
      </c>
      <c r="AK39" s="9">
        <v>1020</v>
      </c>
      <c r="AL39" s="9">
        <v>1020</v>
      </c>
    </row>
    <row r="40" spans="3:48" x14ac:dyDescent="0.25">
      <c r="C40" s="27" t="s">
        <v>53</v>
      </c>
      <c r="D40">
        <f t="shared" ref="D40:F40" si="61">D20/10</f>
        <v>3.65</v>
      </c>
      <c r="E40">
        <f t="shared" si="61"/>
        <v>4.5600000000000005</v>
      </c>
      <c r="F40">
        <f t="shared" si="61"/>
        <v>4.25</v>
      </c>
      <c r="K40" s="27" t="s">
        <v>53</v>
      </c>
      <c r="L40" s="47">
        <f t="shared" ref="L40:N40" si="62">(L20/1000)*10000</f>
        <v>96000</v>
      </c>
      <c r="M40" s="47">
        <f t="shared" si="62"/>
        <v>96000</v>
      </c>
      <c r="N40" s="47">
        <f t="shared" si="62"/>
        <v>96000</v>
      </c>
      <c r="Q40" s="48">
        <v>2376.4367816091958</v>
      </c>
      <c r="R40" s="48">
        <v>2199.4680851063827</v>
      </c>
      <c r="S40" s="48">
        <v>2349.431818181818</v>
      </c>
      <c r="U40" s="69">
        <f t="shared" si="30"/>
        <v>2224.820114942529</v>
      </c>
      <c r="V40" s="69">
        <f t="shared" si="31"/>
        <v>2059.1420212765956</v>
      </c>
      <c r="W40" s="69">
        <f t="shared" si="32"/>
        <v>2199.5380681818183</v>
      </c>
      <c r="X40" s="68"/>
      <c r="Y40" s="70">
        <f t="shared" si="33"/>
        <v>149.71551724137933</v>
      </c>
      <c r="Z40" s="70">
        <f t="shared" si="34"/>
        <v>138.56648936170211</v>
      </c>
      <c r="AA40" s="70">
        <f t="shared" si="35"/>
        <v>148.01420454545453</v>
      </c>
      <c r="AB40" s="68"/>
      <c r="AC40" s="70">
        <f t="shared" si="36"/>
        <v>1.9011494252872581</v>
      </c>
      <c r="AD40" s="70">
        <f t="shared" si="37"/>
        <v>1.7595744680847929</v>
      </c>
      <c r="AE40" s="70">
        <f t="shared" si="38"/>
        <v>1.879545454545223</v>
      </c>
      <c r="AJ40" s="9">
        <v>990</v>
      </c>
      <c r="AK40" s="9">
        <v>990</v>
      </c>
      <c r="AL40" s="9">
        <v>990</v>
      </c>
    </row>
    <row r="41" spans="3:48" x14ac:dyDescent="0.25">
      <c r="C41" s="27" t="s">
        <v>55</v>
      </c>
      <c r="D41">
        <f t="shared" ref="D41:F41" si="63">D21/10</f>
        <v>4.68</v>
      </c>
      <c r="E41">
        <f t="shared" si="63"/>
        <v>5.08</v>
      </c>
      <c r="F41">
        <f t="shared" si="63"/>
        <v>4.7200000000000006</v>
      </c>
      <c r="K41" s="27" t="s">
        <v>55</v>
      </c>
      <c r="L41" s="47">
        <f t="shared" ref="L41:N41" si="64">(L21/1000)*10000</f>
        <v>84000</v>
      </c>
      <c r="M41" s="47">
        <f t="shared" si="64"/>
        <v>84000</v>
      </c>
      <c r="N41" s="47">
        <f t="shared" si="64"/>
        <v>84000</v>
      </c>
      <c r="Q41" s="48">
        <v>2151.5892420537898</v>
      </c>
      <c r="R41" s="48">
        <v>2105.2631578947371</v>
      </c>
      <c r="S41" s="48">
        <v>2037.037037037037</v>
      </c>
      <c r="U41" s="69">
        <f t="shared" si="30"/>
        <v>2014.317848410758</v>
      </c>
      <c r="V41" s="69">
        <f t="shared" si="31"/>
        <v>1970.9473684210532</v>
      </c>
      <c r="W41" s="69">
        <f t="shared" si="32"/>
        <v>1907.0740740740741</v>
      </c>
      <c r="X41" s="68"/>
      <c r="Y41" s="70">
        <f t="shared" si="33"/>
        <v>135.55012224938875</v>
      </c>
      <c r="Z41" s="70">
        <f t="shared" si="34"/>
        <v>132.63157894736844</v>
      </c>
      <c r="AA41" s="70">
        <f t="shared" si="35"/>
        <v>128.33333333333331</v>
      </c>
      <c r="AB41" s="68"/>
      <c r="AC41" s="70">
        <f t="shared" si="36"/>
        <v>1.721271393643292</v>
      </c>
      <c r="AD41" s="70">
        <f t="shared" si="37"/>
        <v>1.6842105263153826</v>
      </c>
      <c r="AE41" s="70">
        <f t="shared" si="38"/>
        <v>1.6296296296295623</v>
      </c>
      <c r="AJ41" s="9">
        <v>960</v>
      </c>
      <c r="AK41" s="9">
        <v>960</v>
      </c>
      <c r="AL41" s="9">
        <v>960</v>
      </c>
    </row>
    <row r="42" spans="3:48" x14ac:dyDescent="0.25">
      <c r="C42" s="27" t="s">
        <v>56</v>
      </c>
      <c r="D42">
        <f t="shared" ref="D42:F42" si="65">D22/10</f>
        <v>3.79</v>
      </c>
      <c r="E42">
        <f t="shared" si="65"/>
        <v>3.78</v>
      </c>
      <c r="F42">
        <f t="shared" si="65"/>
        <v>3.6799999999999997</v>
      </c>
      <c r="K42" s="27" t="s">
        <v>56</v>
      </c>
      <c r="L42" s="47">
        <f t="shared" ref="L42:N42" si="66">(L22/1000)*10000</f>
        <v>92000</v>
      </c>
      <c r="M42" s="47">
        <f t="shared" si="66"/>
        <v>92000</v>
      </c>
      <c r="N42" s="47">
        <f t="shared" si="66"/>
        <v>92000</v>
      </c>
      <c r="Q42" s="48">
        <v>2630.1369863013701</v>
      </c>
      <c r="R42" s="48">
        <v>2105.2631578947367</v>
      </c>
      <c r="S42" s="48">
        <v>2258.8235294117649</v>
      </c>
      <c r="U42" s="69">
        <f t="shared" si="30"/>
        <v>2462.3342465753431</v>
      </c>
      <c r="V42" s="69">
        <f t="shared" si="31"/>
        <v>1970.9473684210525</v>
      </c>
      <c r="W42" s="69">
        <f t="shared" si="32"/>
        <v>2114.7105882352944</v>
      </c>
      <c r="X42" s="68"/>
      <c r="Y42" s="70">
        <f t="shared" si="33"/>
        <v>165.69863013698631</v>
      </c>
      <c r="Z42" s="70">
        <f t="shared" si="34"/>
        <v>132.63157894736841</v>
      </c>
      <c r="AA42" s="70">
        <f t="shared" si="35"/>
        <v>142.30588235294118</v>
      </c>
      <c r="AB42" s="68"/>
      <c r="AC42" s="70">
        <f t="shared" si="36"/>
        <v>2.1041095890409451</v>
      </c>
      <c r="AD42" s="70">
        <f t="shared" si="37"/>
        <v>1.6842105263158373</v>
      </c>
      <c r="AE42" s="70">
        <f t="shared" si="38"/>
        <v>1.8070588235291325</v>
      </c>
      <c r="AJ42" s="9">
        <v>840</v>
      </c>
      <c r="AK42" s="9">
        <v>840</v>
      </c>
      <c r="AL42" s="9">
        <v>840</v>
      </c>
    </row>
    <row r="43" spans="3:48" x14ac:dyDescent="0.25">
      <c r="C43" s="27" t="s">
        <v>57</v>
      </c>
      <c r="D43">
        <f t="shared" ref="D43:F43" si="67">D23/10</f>
        <v>4.09</v>
      </c>
      <c r="E43">
        <f t="shared" si="67"/>
        <v>4.18</v>
      </c>
      <c r="F43">
        <f t="shared" si="67"/>
        <v>4.32</v>
      </c>
      <c r="K43" s="27" t="s">
        <v>57</v>
      </c>
      <c r="L43" s="47">
        <f t="shared" ref="L43:N43" si="68">(L23/1000)*10000</f>
        <v>88000</v>
      </c>
      <c r="M43" s="47">
        <f t="shared" si="68"/>
        <v>88000</v>
      </c>
      <c r="N43" s="47">
        <f t="shared" si="68"/>
        <v>88000</v>
      </c>
      <c r="Q43" s="48">
        <v>2133.8912133891217</v>
      </c>
      <c r="R43" s="48">
        <v>2179.4871794871797</v>
      </c>
      <c r="S43" s="48">
        <v>2276.7857142857147</v>
      </c>
      <c r="U43" s="69">
        <f t="shared" si="30"/>
        <v>1997.748953974896</v>
      </c>
      <c r="V43" s="69">
        <f t="shared" si="31"/>
        <v>2040.4358974358977</v>
      </c>
      <c r="W43" s="69">
        <f t="shared" si="32"/>
        <v>2131.5267857142862</v>
      </c>
      <c r="X43" s="68"/>
      <c r="Y43" s="70">
        <f t="shared" si="33"/>
        <v>134.43514644351467</v>
      </c>
      <c r="Z43" s="70">
        <f t="shared" si="34"/>
        <v>137.30769230769232</v>
      </c>
      <c r="AA43" s="70">
        <f t="shared" si="35"/>
        <v>143.43750000000003</v>
      </c>
      <c r="AB43" s="68"/>
      <c r="AC43" s="70">
        <f t="shared" si="36"/>
        <v>1.7071129707110231</v>
      </c>
      <c r="AD43" s="70">
        <f t="shared" si="37"/>
        <v>1.7435897435898369</v>
      </c>
      <c r="AE43" s="70">
        <f t="shared" si="38"/>
        <v>1.8214285714284415</v>
      </c>
      <c r="AJ43" s="9">
        <v>920</v>
      </c>
      <c r="AK43" s="9">
        <v>920</v>
      </c>
      <c r="AL43" s="9">
        <v>920</v>
      </c>
    </row>
    <row r="44" spans="3:48" x14ac:dyDescent="0.25">
      <c r="C44" s="27" t="s">
        <v>58</v>
      </c>
      <c r="D44">
        <f t="shared" ref="D44:F44" si="69">D24/10</f>
        <v>3.4799999999999995</v>
      </c>
      <c r="E44">
        <f t="shared" si="69"/>
        <v>3.7600000000000002</v>
      </c>
      <c r="F44">
        <f t="shared" si="69"/>
        <v>3.5200000000000005</v>
      </c>
      <c r="K44" s="27" t="s">
        <v>58</v>
      </c>
      <c r="L44" s="47">
        <f t="shared" ref="L44:N44" si="70">(L24/1000)*10000</f>
        <v>82700</v>
      </c>
      <c r="M44" s="47">
        <f t="shared" si="70"/>
        <v>82700</v>
      </c>
      <c r="N44" s="47">
        <f t="shared" si="70"/>
        <v>82700</v>
      </c>
      <c r="Q44" s="48">
        <v>1794.8717948717949</v>
      </c>
      <c r="R44" s="48">
        <v>1653.543307086614</v>
      </c>
      <c r="S44" s="48">
        <v>1779.6610169491523</v>
      </c>
      <c r="U44" s="69">
        <f t="shared" si="30"/>
        <v>1680.3589743589744</v>
      </c>
      <c r="V44" s="69">
        <f t="shared" si="31"/>
        <v>1548.0472440944882</v>
      </c>
      <c r="W44" s="69">
        <f t="shared" si="32"/>
        <v>1666.1186440677964</v>
      </c>
      <c r="X44" s="68"/>
      <c r="Y44" s="70">
        <f t="shared" si="33"/>
        <v>113.07692307692308</v>
      </c>
      <c r="Z44" s="70">
        <f t="shared" si="34"/>
        <v>104.1732283464567</v>
      </c>
      <c r="AA44" s="70">
        <f t="shared" si="35"/>
        <v>112.11864406779659</v>
      </c>
      <c r="AB44" s="68"/>
      <c r="AC44" s="70">
        <f t="shared" si="36"/>
        <v>1.4358974358974592</v>
      </c>
      <c r="AD44" s="70">
        <f t="shared" si="37"/>
        <v>1.3228346456692179</v>
      </c>
      <c r="AE44" s="70">
        <f t="shared" si="38"/>
        <v>1.4237288135593644</v>
      </c>
      <c r="AJ44" s="9">
        <v>880</v>
      </c>
      <c r="AK44" s="9">
        <v>880</v>
      </c>
      <c r="AL44" s="9">
        <v>880</v>
      </c>
    </row>
    <row r="45" spans="3:48" x14ac:dyDescent="0.25">
      <c r="AJ45" s="9">
        <v>827</v>
      </c>
      <c r="AK45" s="9">
        <v>827</v>
      </c>
      <c r="AL45" s="9">
        <v>827</v>
      </c>
    </row>
    <row r="46" spans="3:48" x14ac:dyDescent="0.25">
      <c r="W46" s="66" t="s">
        <v>118</v>
      </c>
      <c r="Y46" t="s">
        <v>124</v>
      </c>
      <c r="AA46" s="35" t="s">
        <v>119</v>
      </c>
      <c r="AE46" s="35" t="s">
        <v>120</v>
      </c>
      <c r="AI46" s="35" t="s">
        <v>121</v>
      </c>
      <c r="AM46" s="49" t="s">
        <v>75</v>
      </c>
      <c r="AN46" s="49"/>
      <c r="AO46" s="49"/>
      <c r="AP46" s="49"/>
      <c r="AQ46" s="49" t="s">
        <v>76</v>
      </c>
      <c r="AR46" s="49"/>
      <c r="AS46" s="49"/>
      <c r="AT46" s="49"/>
      <c r="AU46" s="49" t="s">
        <v>77</v>
      </c>
    </row>
    <row r="47" spans="3:48" x14ac:dyDescent="0.25">
      <c r="U47" s="27" t="s">
        <v>22</v>
      </c>
      <c r="V47" s="47">
        <v>1572</v>
      </c>
      <c r="W47" s="47">
        <v>1777</v>
      </c>
      <c r="X47" s="47">
        <v>1545</v>
      </c>
      <c r="Y47" s="47">
        <f>AVERAGE(V47:X47)</f>
        <v>1631.3333333333333</v>
      </c>
      <c r="Z47" s="48">
        <f>Q27-V47</f>
        <v>3144.9811320754716</v>
      </c>
      <c r="AA47" s="48">
        <f t="shared" ref="AA47:AB47" si="71">R27-W47</f>
        <v>3519.6101694915251</v>
      </c>
      <c r="AB47" s="48">
        <f t="shared" si="71"/>
        <v>4252.7736549165129</v>
      </c>
      <c r="AD47" s="67">
        <f>Q27*4.1/100</f>
        <v>193.3962264150943</v>
      </c>
      <c r="AE47" s="67">
        <f t="shared" ref="AE47:AF47" si="72">R27*4.1/100</f>
        <v>217.1610169491525</v>
      </c>
      <c r="AF47" s="67">
        <f t="shared" si="72"/>
        <v>237.708719851577</v>
      </c>
      <c r="AH47" s="48">
        <f>Z47-AD47</f>
        <v>2951.5849056603774</v>
      </c>
      <c r="AI47" s="48">
        <f t="shared" ref="AI47:AJ47" si="73">AA47-AE47</f>
        <v>3302.4491525423728</v>
      </c>
      <c r="AJ47" s="48">
        <f t="shared" si="73"/>
        <v>4015.064935064936</v>
      </c>
      <c r="AL47" s="9">
        <f>(AH47*93.1)/100</f>
        <v>2747.9255471698111</v>
      </c>
      <c r="AM47" s="9">
        <f t="shared" ref="AM47:AN47" si="74">(AI47*93.1)/100</f>
        <v>3074.5801610169492</v>
      </c>
      <c r="AN47" s="9">
        <f t="shared" si="74"/>
        <v>3738.0254545454554</v>
      </c>
      <c r="AP47" s="8">
        <f>(AH47*6.8)/100</f>
        <v>200.70777358490565</v>
      </c>
      <c r="AQ47" s="8">
        <f t="shared" ref="AQ47:AR47" si="75">(AI47*6.8)/100</f>
        <v>224.56654237288134</v>
      </c>
      <c r="AR47" s="8">
        <f t="shared" si="75"/>
        <v>273.02441558441564</v>
      </c>
      <c r="AT47" s="8">
        <f>(AH47-(AL47+AP47))</f>
        <v>2.9515849056606385</v>
      </c>
      <c r="AU47" s="8">
        <f>(AI47-(AM47+AQ47))</f>
        <v>3.3024491525420672</v>
      </c>
      <c r="AV47" s="8">
        <f t="shared" ref="AV47" si="76">(AJ47-(AN47+AR47))</f>
        <v>4.0150649350648564</v>
      </c>
    </row>
    <row r="48" spans="3:48" x14ac:dyDescent="0.25">
      <c r="U48" s="27" t="s">
        <v>24</v>
      </c>
      <c r="V48" s="47">
        <v>1105</v>
      </c>
      <c r="W48" s="47">
        <v>1210.6385258195844</v>
      </c>
      <c r="X48" s="47">
        <v>1137</v>
      </c>
      <c r="Y48" s="47">
        <f t="shared" ref="Y48:Y64" si="77">AVERAGE(V48:X48)</f>
        <v>1150.8795086065281</v>
      </c>
      <c r="Z48" s="48">
        <f t="shared" ref="Z48:Z64" si="78">Q28-V48</f>
        <v>1926.0880829015541</v>
      </c>
      <c r="AA48" s="48">
        <f t="shared" ref="AA48:AA64" si="79">R28-W48</f>
        <v>1884.599569418511</v>
      </c>
      <c r="AB48" s="48">
        <f t="shared" ref="AB48:AB64" si="80">S28-X48</f>
        <v>2095.0441988950274</v>
      </c>
      <c r="AD48" s="67">
        <f t="shared" ref="AD48:AD56" si="81">Q28*4.1/100</f>
        <v>124.27461139896371</v>
      </c>
      <c r="AE48" s="67">
        <f t="shared" ref="AE48:AE56" si="82">R28*4.1/100</f>
        <v>126.90476190476191</v>
      </c>
      <c r="AF48" s="67">
        <f t="shared" ref="AF48:AF56" si="83">S28*4.1/100</f>
        <v>132.51381215469613</v>
      </c>
      <c r="AH48" s="48">
        <f t="shared" ref="AH48:AH64" si="84">Z48-AD48</f>
        <v>1801.8134715025903</v>
      </c>
      <c r="AI48" s="48">
        <f t="shared" ref="AI48:AI64" si="85">AA48-AE48</f>
        <v>1757.6948075137491</v>
      </c>
      <c r="AJ48" s="48">
        <f t="shared" ref="AJ48:AJ64" si="86">AB48-AF48</f>
        <v>1962.5303867403313</v>
      </c>
      <c r="AL48" s="9">
        <f t="shared" ref="AL48:AL55" si="87">(AH48*93.1)/100</f>
        <v>1677.4883419689113</v>
      </c>
      <c r="AM48" s="9">
        <f t="shared" ref="AM48:AM55" si="88">(AI48*93.1)/100</f>
        <v>1636.4138657953001</v>
      </c>
      <c r="AN48" s="9">
        <f t="shared" ref="AN48:AN55" si="89">(AJ48*93.1)/100</f>
        <v>1827.1157900552485</v>
      </c>
      <c r="AP48" s="8">
        <f t="shared" ref="AP48:AP55" si="90">(AH48*6.8)/100</f>
        <v>122.52331606217615</v>
      </c>
      <c r="AQ48" s="8">
        <f t="shared" ref="AQ48:AQ55" si="91">(AI48*6.8)/100</f>
        <v>119.52324691093494</v>
      </c>
      <c r="AR48" s="8">
        <f t="shared" ref="AR48:AR55" si="92">(AJ48*6.8)/100</f>
        <v>133.45206629834252</v>
      </c>
      <c r="AT48" s="8">
        <f t="shared" ref="AT48:AT64" si="93">(AH48-(AL48+AP48))</f>
        <v>1.8018134715030101</v>
      </c>
      <c r="AU48" s="8">
        <f t="shared" ref="AU48:AU64" si="94">(AI48-(AM48+AQ48))</f>
        <v>1.757694807514099</v>
      </c>
      <c r="AV48" s="8">
        <f t="shared" ref="AV48:AV64" si="95">(AJ48-(AN48+AR48))</f>
        <v>1.9625303867403545</v>
      </c>
    </row>
    <row r="49" spans="2:48" x14ac:dyDescent="0.25">
      <c r="U49" s="27" t="s">
        <v>31</v>
      </c>
      <c r="V49" s="47">
        <v>1249</v>
      </c>
      <c r="W49" s="47">
        <v>1230</v>
      </c>
      <c r="X49" s="47">
        <v>1228.5510785510787</v>
      </c>
      <c r="Y49" s="47">
        <f t="shared" si="77"/>
        <v>1235.8503595170262</v>
      </c>
      <c r="Z49" s="48">
        <f t="shared" si="78"/>
        <v>1835.8329048843189</v>
      </c>
      <c r="AA49" s="48">
        <f t="shared" si="79"/>
        <v>1613.6018957345968</v>
      </c>
      <c r="AB49" s="48">
        <f t="shared" si="80"/>
        <v>1530.0696111040938</v>
      </c>
      <c r="AD49" s="67">
        <f t="shared" si="81"/>
        <v>126.47814910025707</v>
      </c>
      <c r="AE49" s="67">
        <f t="shared" si="82"/>
        <v>116.58767772511847</v>
      </c>
      <c r="AF49" s="67">
        <f t="shared" si="83"/>
        <v>113.10344827586206</v>
      </c>
      <c r="AH49" s="48">
        <f t="shared" si="84"/>
        <v>1709.3547557840618</v>
      </c>
      <c r="AI49" s="48">
        <f t="shared" si="85"/>
        <v>1497.0142180094783</v>
      </c>
      <c r="AJ49" s="48">
        <f t="shared" si="86"/>
        <v>1416.9661628282317</v>
      </c>
      <c r="AL49" s="9">
        <f t="shared" si="87"/>
        <v>1591.4092776349614</v>
      </c>
      <c r="AM49" s="9">
        <f t="shared" si="88"/>
        <v>1393.7202369668241</v>
      </c>
      <c r="AN49" s="9">
        <f t="shared" si="89"/>
        <v>1319.1954975930837</v>
      </c>
      <c r="AP49" s="8">
        <f t="shared" si="90"/>
        <v>116.23612339331619</v>
      </c>
      <c r="AQ49" s="8">
        <f t="shared" si="91"/>
        <v>101.79696682464453</v>
      </c>
      <c r="AR49" s="8">
        <f t="shared" si="92"/>
        <v>96.353699072319756</v>
      </c>
      <c r="AT49" s="8">
        <f t="shared" si="93"/>
        <v>1.7093547557842612</v>
      </c>
      <c r="AU49" s="8">
        <f t="shared" si="94"/>
        <v>1.497014218009781</v>
      </c>
      <c r="AV49" s="8">
        <f t="shared" si="95"/>
        <v>1.4169661628282029</v>
      </c>
    </row>
    <row r="50" spans="2:48" x14ac:dyDescent="0.25">
      <c r="U50" s="27" t="s">
        <v>34</v>
      </c>
      <c r="V50" s="47">
        <v>1083.6310127866857</v>
      </c>
      <c r="W50" s="47">
        <v>1086.100936100936</v>
      </c>
      <c r="X50" s="47">
        <v>1111.5384615384614</v>
      </c>
      <c r="Y50" s="47">
        <f t="shared" si="77"/>
        <v>1093.756803475361</v>
      </c>
      <c r="Z50" s="48">
        <f t="shared" si="78"/>
        <v>1677.5630170640609</v>
      </c>
      <c r="AA50" s="48">
        <f t="shared" si="79"/>
        <v>1724.0256461775452</v>
      </c>
      <c r="AB50" s="48">
        <f t="shared" si="80"/>
        <v>1741.9319754795342</v>
      </c>
      <c r="AD50" s="67">
        <f t="shared" si="81"/>
        <v>113.20895522388061</v>
      </c>
      <c r="AE50" s="67">
        <f t="shared" si="82"/>
        <v>115.21518987341771</v>
      </c>
      <c r="AF50" s="67">
        <f t="shared" si="83"/>
        <v>116.99228791773781</v>
      </c>
      <c r="AH50" s="48">
        <f t="shared" si="84"/>
        <v>1564.3540618401803</v>
      </c>
      <c r="AI50" s="48">
        <f t="shared" si="85"/>
        <v>1608.8104563041275</v>
      </c>
      <c r="AJ50" s="48">
        <f t="shared" si="86"/>
        <v>1624.9396875617965</v>
      </c>
      <c r="AL50" s="9">
        <f t="shared" si="87"/>
        <v>1456.4136315732076</v>
      </c>
      <c r="AM50" s="9">
        <f t="shared" si="88"/>
        <v>1497.8025348191427</v>
      </c>
      <c r="AN50" s="9">
        <f t="shared" si="89"/>
        <v>1512.8188491200324</v>
      </c>
      <c r="AP50" s="8">
        <f t="shared" si="90"/>
        <v>106.37607620513225</v>
      </c>
      <c r="AQ50" s="8">
        <f t="shared" si="91"/>
        <v>109.39911102868068</v>
      </c>
      <c r="AR50" s="8">
        <f t="shared" si="92"/>
        <v>110.49589875420216</v>
      </c>
      <c r="AT50" s="8">
        <f t="shared" si="93"/>
        <v>1.5643540618405041</v>
      </c>
      <c r="AU50" s="8">
        <f t="shared" si="94"/>
        <v>1.608810456304127</v>
      </c>
      <c r="AV50" s="8">
        <f t="shared" si="95"/>
        <v>1.6249396875618913</v>
      </c>
    </row>
    <row r="51" spans="2:48" x14ac:dyDescent="0.25">
      <c r="U51" s="27" t="s">
        <v>38</v>
      </c>
      <c r="V51" s="47">
        <v>1034</v>
      </c>
      <c r="W51" s="47">
        <v>1026</v>
      </c>
      <c r="X51" s="47">
        <v>1053.6276223776222</v>
      </c>
      <c r="Y51" s="47">
        <f t="shared" si="77"/>
        <v>1037.8758741258741</v>
      </c>
      <c r="Z51" s="48">
        <f t="shared" si="78"/>
        <v>1842.7123287671234</v>
      </c>
      <c r="AA51" s="48">
        <f t="shared" si="79"/>
        <v>1915.1764705882351</v>
      </c>
      <c r="AB51" s="48">
        <f t="shared" si="80"/>
        <v>1963.6137569327229</v>
      </c>
      <c r="AD51" s="67">
        <f t="shared" si="81"/>
        <v>117.94520547945206</v>
      </c>
      <c r="AE51" s="67">
        <f t="shared" si="82"/>
        <v>120.58823529411762</v>
      </c>
      <c r="AF51" s="67">
        <f t="shared" si="83"/>
        <v>123.70689655172413</v>
      </c>
      <c r="AH51" s="48">
        <f t="shared" si="84"/>
        <v>1724.7671232876714</v>
      </c>
      <c r="AI51" s="48">
        <f t="shared" si="85"/>
        <v>1794.5882352941176</v>
      </c>
      <c r="AJ51" s="48">
        <f t="shared" si="86"/>
        <v>1839.9068603809988</v>
      </c>
      <c r="AL51" s="9">
        <f t="shared" si="87"/>
        <v>1605.758191780822</v>
      </c>
      <c r="AM51" s="9">
        <f t="shared" si="88"/>
        <v>1670.7616470588234</v>
      </c>
      <c r="AN51" s="9">
        <f t="shared" si="89"/>
        <v>1712.9532870147098</v>
      </c>
      <c r="AP51" s="8">
        <f t="shared" si="90"/>
        <v>117.28416438356166</v>
      </c>
      <c r="AQ51" s="8">
        <f t="shared" si="91"/>
        <v>122.03199999999998</v>
      </c>
      <c r="AR51" s="8">
        <f t="shared" si="92"/>
        <v>125.11366650590791</v>
      </c>
      <c r="AT51" s="8">
        <f t="shared" si="93"/>
        <v>1.7247671232878474</v>
      </c>
      <c r="AU51" s="8">
        <f t="shared" si="94"/>
        <v>1.7945882352942135</v>
      </c>
      <c r="AV51" s="8">
        <f t="shared" si="95"/>
        <v>1.8399068603810065</v>
      </c>
    </row>
    <row r="52" spans="2:48" ht="30" x14ac:dyDescent="0.4">
      <c r="N52" s="57">
        <v>2020</v>
      </c>
      <c r="U52" s="27" t="s">
        <v>40</v>
      </c>
      <c r="V52" s="47">
        <v>958</v>
      </c>
      <c r="W52" s="47">
        <v>959.71659919028343</v>
      </c>
      <c r="X52" s="47">
        <v>953</v>
      </c>
      <c r="Y52" s="47">
        <f t="shared" si="77"/>
        <v>956.90553306342781</v>
      </c>
      <c r="Z52" s="48">
        <f t="shared" si="78"/>
        <v>1547.7471264367819</v>
      </c>
      <c r="AA52" s="48">
        <f t="shared" si="79"/>
        <v>1604.9892831626576</v>
      </c>
      <c r="AB52" s="48">
        <f t="shared" si="80"/>
        <v>1648.4319809069216</v>
      </c>
      <c r="AD52" s="67">
        <f t="shared" si="81"/>
        <v>102.73563218390805</v>
      </c>
      <c r="AE52" s="67">
        <f t="shared" si="82"/>
        <v>105.15294117647058</v>
      </c>
      <c r="AF52" s="67">
        <f t="shared" si="83"/>
        <v>106.65871121718378</v>
      </c>
      <c r="AH52" s="48">
        <f t="shared" si="84"/>
        <v>1445.0114942528737</v>
      </c>
      <c r="AI52" s="48">
        <f t="shared" si="85"/>
        <v>1499.8363419861869</v>
      </c>
      <c r="AJ52" s="48">
        <f t="shared" si="86"/>
        <v>1541.7732696897378</v>
      </c>
      <c r="AL52" s="9">
        <f t="shared" si="87"/>
        <v>1345.3057011494252</v>
      </c>
      <c r="AM52" s="9">
        <f t="shared" si="88"/>
        <v>1396.34763438914</v>
      </c>
      <c r="AN52" s="9">
        <f t="shared" si="89"/>
        <v>1435.3909140811459</v>
      </c>
      <c r="AP52" s="8">
        <f t="shared" si="90"/>
        <v>98.260781609195419</v>
      </c>
      <c r="AQ52" s="8">
        <f t="shared" si="91"/>
        <v>101.98887125506072</v>
      </c>
      <c r="AR52" s="8">
        <f t="shared" si="92"/>
        <v>104.84058233890217</v>
      </c>
      <c r="AT52" s="8">
        <f t="shared" si="93"/>
        <v>1.4450114942530945</v>
      </c>
      <c r="AU52" s="8">
        <f t="shared" si="94"/>
        <v>1.4998363419861107</v>
      </c>
      <c r="AV52" s="8">
        <f t="shared" si="95"/>
        <v>1.5417732696898838</v>
      </c>
    </row>
    <row r="53" spans="2:48" x14ac:dyDescent="0.25">
      <c r="U53" s="27" t="s">
        <v>42</v>
      </c>
      <c r="V53" s="47">
        <v>1161.59114857745</v>
      </c>
      <c r="W53" s="47">
        <v>959.71659919028332</v>
      </c>
      <c r="X53" s="47">
        <v>1018.7782805429865</v>
      </c>
      <c r="Y53" s="47">
        <f t="shared" si="77"/>
        <v>1046.6953427702399</v>
      </c>
      <c r="Z53" s="48">
        <f t="shared" si="78"/>
        <v>1349.3258819902358</v>
      </c>
      <c r="AA53" s="48">
        <f t="shared" si="79"/>
        <v>1456.2497873643383</v>
      </c>
      <c r="AB53" s="48">
        <f t="shared" si="80"/>
        <v>1565.4913823783618</v>
      </c>
      <c r="AD53" s="67">
        <f t="shared" si="81"/>
        <v>102.9475982532751</v>
      </c>
      <c r="AE53" s="67">
        <f t="shared" si="82"/>
        <v>99.054621848739487</v>
      </c>
      <c r="AF53" s="67">
        <f t="shared" si="83"/>
        <v>105.95505617977527</v>
      </c>
      <c r="AH53" s="48">
        <f t="shared" si="84"/>
        <v>1246.3782837369606</v>
      </c>
      <c r="AI53" s="48">
        <f t="shared" si="85"/>
        <v>1357.1951655155988</v>
      </c>
      <c r="AJ53" s="48">
        <f t="shared" si="86"/>
        <v>1459.5363261985865</v>
      </c>
      <c r="AL53" s="9">
        <f t="shared" si="87"/>
        <v>1160.3781821591103</v>
      </c>
      <c r="AM53" s="9">
        <f t="shared" si="88"/>
        <v>1263.5486990950224</v>
      </c>
      <c r="AN53" s="9">
        <f t="shared" si="89"/>
        <v>1358.8283196908837</v>
      </c>
      <c r="AP53" s="8">
        <f t="shared" si="90"/>
        <v>84.753723294113314</v>
      </c>
      <c r="AQ53" s="8">
        <f t="shared" si="91"/>
        <v>92.289271255060726</v>
      </c>
      <c r="AR53" s="8">
        <f t="shared" si="92"/>
        <v>99.248470181503876</v>
      </c>
      <c r="AT53" s="8">
        <f t="shared" si="93"/>
        <v>1.2463782837369308</v>
      </c>
      <c r="AU53" s="8">
        <f t="shared" si="94"/>
        <v>1.3571951655155772</v>
      </c>
      <c r="AV53" s="8">
        <f t="shared" si="95"/>
        <v>1.459536326198986</v>
      </c>
    </row>
    <row r="54" spans="2:48" x14ac:dyDescent="0.25">
      <c r="U54" s="27" t="s">
        <v>44</v>
      </c>
      <c r="V54" s="47">
        <v>970.72738976504684</v>
      </c>
      <c r="W54" s="47">
        <v>988.26429980276134</v>
      </c>
      <c r="X54" s="47">
        <v>1025.6868131868132</v>
      </c>
      <c r="Y54" s="47">
        <f t="shared" si="77"/>
        <v>994.89283425154042</v>
      </c>
      <c r="Z54" s="48">
        <f t="shared" si="78"/>
        <v>1477.8322810168459</v>
      </c>
      <c r="AA54" s="48">
        <f t="shared" si="79"/>
        <v>1513.8383074302074</v>
      </c>
      <c r="AB54" s="48">
        <f t="shared" si="80"/>
        <v>1572.5664619223571</v>
      </c>
      <c r="AD54" s="67">
        <f t="shared" si="81"/>
        <v>100.3909465020576</v>
      </c>
      <c r="AE54" s="67">
        <f t="shared" si="82"/>
        <v>102.5862068965517</v>
      </c>
      <c r="AF54" s="67">
        <f t="shared" si="83"/>
        <v>106.52838427947597</v>
      </c>
      <c r="AH54" s="48">
        <f t="shared" si="84"/>
        <v>1377.4413345147882</v>
      </c>
      <c r="AI54" s="48">
        <f t="shared" si="85"/>
        <v>1411.2521005336557</v>
      </c>
      <c r="AJ54" s="48">
        <f t="shared" si="86"/>
        <v>1466.038077642881</v>
      </c>
      <c r="AL54" s="9">
        <f t="shared" si="87"/>
        <v>1282.3978824332676</v>
      </c>
      <c r="AM54" s="9">
        <f t="shared" si="88"/>
        <v>1313.8757055968335</v>
      </c>
      <c r="AN54" s="9">
        <f t="shared" si="89"/>
        <v>1364.8814502855221</v>
      </c>
      <c r="AP54" s="8">
        <f t="shared" si="90"/>
        <v>93.6660107470056</v>
      </c>
      <c r="AQ54" s="8">
        <f t="shared" si="91"/>
        <v>95.965142836288578</v>
      </c>
      <c r="AR54" s="8">
        <f t="shared" si="92"/>
        <v>99.690589279715908</v>
      </c>
      <c r="AT54" s="8">
        <f t="shared" si="93"/>
        <v>1.3774413345149696</v>
      </c>
      <c r="AU54" s="8">
        <f t="shared" si="94"/>
        <v>1.4112521005336021</v>
      </c>
      <c r="AV54" s="8">
        <f t="shared" si="95"/>
        <v>1.4660380776431339</v>
      </c>
    </row>
    <row r="55" spans="2:48" x14ac:dyDescent="0.25">
      <c r="E55" s="49" t="s">
        <v>69</v>
      </c>
      <c r="F55" s="49"/>
      <c r="G55" s="49"/>
      <c r="H55" s="49"/>
      <c r="I55" s="49" t="s">
        <v>69</v>
      </c>
      <c r="J55" s="49"/>
      <c r="K55" s="49"/>
      <c r="L55" s="49"/>
      <c r="M55" s="49" t="s">
        <v>72</v>
      </c>
      <c r="N55" s="49"/>
      <c r="O55" s="49"/>
      <c r="P55" s="49"/>
      <c r="Q55" s="49"/>
      <c r="R55" s="49" t="s">
        <v>73</v>
      </c>
      <c r="S55" s="49"/>
      <c r="U55" s="27" t="s">
        <v>46</v>
      </c>
      <c r="V55" s="47">
        <v>840.33530571992105</v>
      </c>
      <c r="W55" s="47">
        <v>785.97819503331311</v>
      </c>
      <c r="X55" s="47">
        <v>834.4850065189047</v>
      </c>
      <c r="Y55" s="47">
        <f t="shared" si="77"/>
        <v>820.26616909071299</v>
      </c>
      <c r="Z55" s="48">
        <f t="shared" si="78"/>
        <v>1205.9967406121254</v>
      </c>
      <c r="AA55" s="48">
        <f t="shared" si="79"/>
        <v>1342.5358611915867</v>
      </c>
      <c r="AB55" s="48">
        <f t="shared" si="80"/>
        <v>1383.0882152384179</v>
      </c>
      <c r="AD55" s="67">
        <f t="shared" si="81"/>
        <v>83.899613899613911</v>
      </c>
      <c r="AE55" s="67">
        <f t="shared" si="82"/>
        <v>87.269076305220878</v>
      </c>
      <c r="AF55" s="67">
        <f t="shared" si="83"/>
        <v>90.920502092050228</v>
      </c>
      <c r="AH55" s="48">
        <f t="shared" si="84"/>
        <v>1122.0971267125115</v>
      </c>
      <c r="AI55" s="48">
        <f t="shared" si="85"/>
        <v>1255.2667848863659</v>
      </c>
      <c r="AJ55" s="48">
        <f t="shared" si="86"/>
        <v>1292.1677131463678</v>
      </c>
      <c r="AL55" s="9">
        <f t="shared" si="87"/>
        <v>1044.672424969348</v>
      </c>
      <c r="AM55" s="9">
        <f t="shared" si="88"/>
        <v>1168.6533767292067</v>
      </c>
      <c r="AN55" s="9">
        <f t="shared" si="89"/>
        <v>1203.0081409392683</v>
      </c>
      <c r="AP55" s="8">
        <f t="shared" si="90"/>
        <v>76.302604616450779</v>
      </c>
      <c r="AQ55" s="8">
        <f t="shared" si="91"/>
        <v>85.358141372272883</v>
      </c>
      <c r="AR55" s="8">
        <f t="shared" si="92"/>
        <v>87.867404493953003</v>
      </c>
      <c r="AT55" s="8">
        <f t="shared" si="93"/>
        <v>1.1220971267127879</v>
      </c>
      <c r="AU55" s="8">
        <f t="shared" si="94"/>
        <v>1.2552667848863166</v>
      </c>
      <c r="AV55" s="8">
        <f t="shared" si="95"/>
        <v>1.2921677131464548</v>
      </c>
    </row>
    <row r="56" spans="2:48" x14ac:dyDescent="0.25">
      <c r="E56" s="35" t="s">
        <v>70</v>
      </c>
      <c r="I56" s="35" t="s">
        <v>71</v>
      </c>
      <c r="M56" s="35" t="s">
        <v>67</v>
      </c>
      <c r="U56" s="27" t="s">
        <v>48</v>
      </c>
      <c r="V56" s="47">
        <v>1364</v>
      </c>
      <c r="W56" s="47">
        <v>1387.1577574967403</v>
      </c>
      <c r="X56" s="47">
        <v>1380</v>
      </c>
      <c r="Y56" s="47">
        <f t="shared" si="77"/>
        <v>1377.0525858322469</v>
      </c>
      <c r="Z56" s="48">
        <f t="shared" si="78"/>
        <v>2749.2075471698117</v>
      </c>
      <c r="AA56" s="48">
        <f t="shared" si="79"/>
        <v>5600.0217296827468</v>
      </c>
      <c r="AB56" s="48">
        <f t="shared" si="80"/>
        <v>3443.0088495575219</v>
      </c>
      <c r="AD56" s="67">
        <f t="shared" si="81"/>
        <v>168.64150943396228</v>
      </c>
      <c r="AE56" s="67">
        <f t="shared" si="82"/>
        <v>286.47435897435895</v>
      </c>
      <c r="AF56" s="67">
        <f t="shared" si="83"/>
        <v>197.74336283185841</v>
      </c>
      <c r="AH56" s="48">
        <f t="shared" si="84"/>
        <v>2580.5660377358495</v>
      </c>
      <c r="AI56" s="48">
        <f t="shared" si="85"/>
        <v>5313.5473707083875</v>
      </c>
      <c r="AJ56" s="48">
        <f t="shared" si="86"/>
        <v>3245.2654867256633</v>
      </c>
      <c r="AL56" s="9">
        <f>(AH56*92.1)/100</f>
        <v>2376.701320754717</v>
      </c>
      <c r="AM56" s="9">
        <f t="shared" ref="AM56:AN56" si="96">(AI56*92.1)/100</f>
        <v>4893.7771284224245</v>
      </c>
      <c r="AN56" s="9">
        <f t="shared" si="96"/>
        <v>2988.889513274336</v>
      </c>
      <c r="AP56" s="8">
        <f>(AH56*7.8)/100</f>
        <v>201.28415094339627</v>
      </c>
      <c r="AQ56" s="8">
        <f t="shared" ref="AQ56:AR56" si="97">(AI56*7.8)/100</f>
        <v>414.45669491525422</v>
      </c>
      <c r="AR56" s="8">
        <f t="shared" si="97"/>
        <v>253.13070796460173</v>
      </c>
      <c r="AT56" s="8">
        <f t="shared" si="93"/>
        <v>2.5805660377363893</v>
      </c>
      <c r="AU56" s="8">
        <f t="shared" si="94"/>
        <v>5.313547370708875</v>
      </c>
      <c r="AV56" s="8">
        <f t="shared" si="95"/>
        <v>3.245265486725657</v>
      </c>
    </row>
    <row r="57" spans="2:48" x14ac:dyDescent="0.25">
      <c r="B57" s="27" t="s">
        <v>22</v>
      </c>
      <c r="D57" s="7">
        <v>26.5</v>
      </c>
      <c r="E57" s="7">
        <v>21.8</v>
      </c>
      <c r="F57" s="7">
        <v>23.56</v>
      </c>
      <c r="G57" s="7"/>
      <c r="H57">
        <f>D57*100</f>
        <v>2650</v>
      </c>
      <c r="I57">
        <f t="shared" ref="I57:I74" si="98">E57*100</f>
        <v>2180</v>
      </c>
      <c r="J57">
        <f t="shared" ref="J57:J74" si="99">F57*100</f>
        <v>2356</v>
      </c>
      <c r="L57" s="6">
        <v>12629.999999999998</v>
      </c>
      <c r="M57" s="6">
        <v>12629.999999999998</v>
      </c>
      <c r="N57" s="6">
        <v>12629.999999999998</v>
      </c>
      <c r="Q57" s="7">
        <f>H57/L57</f>
        <v>0.20981789390340463</v>
      </c>
      <c r="R57" s="7">
        <f t="shared" ref="R57:R74" si="100">I57/M57</f>
        <v>0.17260490894695174</v>
      </c>
      <c r="S57" s="7">
        <f t="shared" ref="S57:S74" si="101">J57/N57</f>
        <v>0.18653998416468728</v>
      </c>
      <c r="U57" s="27" t="s">
        <v>49</v>
      </c>
      <c r="V57" s="47">
        <v>1295.8031088082901</v>
      </c>
      <c r="W57" s="47">
        <v>1320.4761904761906</v>
      </c>
      <c r="X57" s="47">
        <v>1373.0939226519336</v>
      </c>
      <c r="Y57" s="47">
        <f t="shared" si="77"/>
        <v>1329.7910739788047</v>
      </c>
      <c r="Z57" s="48">
        <f t="shared" si="78"/>
        <v>1394.4142824960579</v>
      </c>
      <c r="AA57" s="48">
        <f t="shared" si="79"/>
        <v>1437.1839766547289</v>
      </c>
      <c r="AB57" s="48">
        <f t="shared" si="80"/>
        <v>1114.3432632777149</v>
      </c>
      <c r="AD57" s="67">
        <f>Q37*3.2/100</f>
        <v>86.08695652173914</v>
      </c>
      <c r="AE57" s="67">
        <f t="shared" ref="AE57:AE64" si="102">R37*3.2/100</f>
        <v>88.245125348189433</v>
      </c>
      <c r="AF57" s="67">
        <f t="shared" ref="AF57:AF64" si="103">S37*3.2/100</f>
        <v>79.597989949748751</v>
      </c>
      <c r="AH57" s="48">
        <f t="shared" si="84"/>
        <v>1308.3273259743187</v>
      </c>
      <c r="AI57" s="48">
        <f t="shared" si="85"/>
        <v>1348.9388513065394</v>
      </c>
      <c r="AJ57" s="48">
        <f t="shared" si="86"/>
        <v>1034.7452733279661</v>
      </c>
      <c r="AL57" s="9">
        <f t="shared" ref="AL57:AL64" si="104">(AH57*92.1)/100</f>
        <v>1204.9694672223475</v>
      </c>
      <c r="AM57" s="9">
        <f t="shared" ref="AM57:AM64" si="105">(AI57*92.1)/100</f>
        <v>1242.3726820533227</v>
      </c>
      <c r="AN57" s="9">
        <f t="shared" ref="AN57:AN64" si="106">(AJ57*92.1)/100</f>
        <v>953.00039673505671</v>
      </c>
      <c r="AP57" s="8">
        <f t="shared" ref="AP57:AP64" si="107">(AH57*7.8)/100</f>
        <v>102.04953142599685</v>
      </c>
      <c r="AQ57" s="8">
        <f t="shared" ref="AQ57:AQ64" si="108">(AI57*7.8)/100</f>
        <v>105.21723040191007</v>
      </c>
      <c r="AR57" s="8">
        <f t="shared" ref="AR57:AR64" si="109">(AJ57*7.8)/100</f>
        <v>80.71013131958135</v>
      </c>
      <c r="AT57" s="8">
        <f t="shared" si="93"/>
        <v>1.3083273259744601</v>
      </c>
      <c r="AU57" s="8">
        <f t="shared" si="94"/>
        <v>1.3489388513066842</v>
      </c>
      <c r="AV57" s="8">
        <f t="shared" si="95"/>
        <v>1.0347452733280988</v>
      </c>
    </row>
    <row r="58" spans="2:48" x14ac:dyDescent="0.25">
      <c r="B58" s="27" t="s">
        <v>24</v>
      </c>
      <c r="D58" s="7">
        <v>39.56</v>
      </c>
      <c r="E58" s="7">
        <v>43.6</v>
      </c>
      <c r="F58" s="7">
        <v>44.5</v>
      </c>
      <c r="G58" s="7"/>
      <c r="H58">
        <f t="shared" ref="H58:H74" si="110">D58*100</f>
        <v>3956</v>
      </c>
      <c r="I58">
        <f t="shared" si="98"/>
        <v>4360</v>
      </c>
      <c r="J58">
        <f t="shared" si="99"/>
        <v>4450</v>
      </c>
      <c r="L58" s="6">
        <v>12120</v>
      </c>
      <c r="M58" s="6">
        <v>12120</v>
      </c>
      <c r="N58" s="6">
        <v>12120</v>
      </c>
      <c r="Q58" s="7">
        <f t="shared" ref="Q58:Q74" si="111">H58/L58</f>
        <v>0.32640264026402638</v>
      </c>
      <c r="R58" s="7">
        <f t="shared" si="100"/>
        <v>0.35973597359735976</v>
      </c>
      <c r="S58" s="7">
        <f t="shared" si="101"/>
        <v>0.36716171617161714</v>
      </c>
      <c r="U58" s="27" t="s">
        <v>50</v>
      </c>
      <c r="V58" s="47">
        <v>1216</v>
      </c>
      <c r="W58" s="47">
        <v>1274</v>
      </c>
      <c r="X58" s="47">
        <v>1231</v>
      </c>
      <c r="Y58" s="47">
        <f t="shared" si="77"/>
        <v>1240.3333333333333</v>
      </c>
      <c r="Z58" s="48">
        <f t="shared" si="78"/>
        <v>1537.2467532467531</v>
      </c>
      <c r="AA58" s="48">
        <f t="shared" si="79"/>
        <v>1638.0879120879122</v>
      </c>
      <c r="AB58" s="48">
        <f t="shared" si="80"/>
        <v>1573.2328042328045</v>
      </c>
      <c r="AD58" s="67">
        <f t="shared" ref="AD58:AD64" si="112">Q38*3.2/100</f>
        <v>88.103896103896091</v>
      </c>
      <c r="AE58" s="67">
        <f t="shared" si="102"/>
        <v>93.186813186813197</v>
      </c>
      <c r="AF58" s="67">
        <f t="shared" si="103"/>
        <v>89.735449735449748</v>
      </c>
      <c r="AH58" s="48">
        <f t="shared" si="84"/>
        <v>1449.1428571428569</v>
      </c>
      <c r="AI58" s="48">
        <f t="shared" si="85"/>
        <v>1544.901098901099</v>
      </c>
      <c r="AJ58" s="48">
        <f t="shared" si="86"/>
        <v>1483.4973544973548</v>
      </c>
      <c r="AL58" s="9">
        <f t="shared" si="104"/>
        <v>1334.6605714285711</v>
      </c>
      <c r="AM58" s="9">
        <f t="shared" si="105"/>
        <v>1422.853912087912</v>
      </c>
      <c r="AN58" s="9">
        <f t="shared" si="106"/>
        <v>1366.3010634920636</v>
      </c>
      <c r="AP58" s="8">
        <f t="shared" si="107"/>
        <v>113.03314285714283</v>
      </c>
      <c r="AQ58" s="8">
        <f t="shared" si="108"/>
        <v>120.50228571428572</v>
      </c>
      <c r="AR58" s="8">
        <f t="shared" si="109"/>
        <v>115.71279365079367</v>
      </c>
      <c r="AT58" s="8">
        <f t="shared" si="93"/>
        <v>1.4491428571429879</v>
      </c>
      <c r="AU58" s="8">
        <f t="shared" si="94"/>
        <v>1.544901098901164</v>
      </c>
      <c r="AV58" s="8">
        <f t="shared" si="95"/>
        <v>1.4834973544975583</v>
      </c>
    </row>
    <row r="59" spans="2:48" x14ac:dyDescent="0.25">
      <c r="B59" s="27" t="s">
        <v>31</v>
      </c>
      <c r="D59" s="7">
        <v>49.5</v>
      </c>
      <c r="E59" s="7">
        <v>48.6</v>
      </c>
      <c r="F59" s="7">
        <v>46.5</v>
      </c>
      <c r="G59" s="7"/>
      <c r="H59">
        <f t="shared" si="110"/>
        <v>4950</v>
      </c>
      <c r="I59">
        <f t="shared" si="98"/>
        <v>4860</v>
      </c>
      <c r="J59">
        <f t="shared" si="99"/>
        <v>4650</v>
      </c>
      <c r="L59" s="6">
        <v>12050</v>
      </c>
      <c r="M59" s="6">
        <v>12050</v>
      </c>
      <c r="N59" s="6">
        <v>12050</v>
      </c>
      <c r="Q59" s="7">
        <f t="shared" si="111"/>
        <v>0.41078838174273857</v>
      </c>
      <c r="R59" s="7">
        <f t="shared" si="100"/>
        <v>0.40331950207468881</v>
      </c>
      <c r="S59" s="7">
        <f t="shared" si="101"/>
        <v>0.38589211618257263</v>
      </c>
      <c r="U59" s="27" t="s">
        <v>52</v>
      </c>
      <c r="V59" s="47">
        <v>1202</v>
      </c>
      <c r="W59" s="47">
        <v>1210.8179162609542</v>
      </c>
      <c r="X59" s="47">
        <v>1217</v>
      </c>
      <c r="Y59" s="47">
        <f t="shared" si="77"/>
        <v>1209.9393054203181</v>
      </c>
      <c r="Z59" s="48">
        <f t="shared" si="78"/>
        <v>1225.4406332453827</v>
      </c>
      <c r="AA59" s="48">
        <f t="shared" si="79"/>
        <v>1223.0445176014798</v>
      </c>
      <c r="AB59" s="48">
        <f t="shared" si="80"/>
        <v>1283</v>
      </c>
      <c r="AD59" s="67">
        <f t="shared" si="112"/>
        <v>77.678100263852244</v>
      </c>
      <c r="AE59" s="67">
        <f t="shared" si="102"/>
        <v>77.883597883597901</v>
      </c>
      <c r="AF59" s="67">
        <f t="shared" si="103"/>
        <v>80</v>
      </c>
      <c r="AH59" s="48">
        <f t="shared" si="84"/>
        <v>1147.7625329815305</v>
      </c>
      <c r="AI59" s="48">
        <f t="shared" si="85"/>
        <v>1145.1609197178818</v>
      </c>
      <c r="AJ59" s="48">
        <f t="shared" si="86"/>
        <v>1203</v>
      </c>
      <c r="AL59" s="9">
        <f t="shared" si="104"/>
        <v>1057.0892928759895</v>
      </c>
      <c r="AM59" s="9">
        <f t="shared" si="105"/>
        <v>1054.693207060169</v>
      </c>
      <c r="AN59" s="9">
        <f t="shared" si="106"/>
        <v>1107.963</v>
      </c>
      <c r="AP59" s="8">
        <f t="shared" si="107"/>
        <v>89.525477572559382</v>
      </c>
      <c r="AQ59" s="8">
        <f t="shared" si="108"/>
        <v>89.322551737994786</v>
      </c>
      <c r="AR59" s="8">
        <f t="shared" si="109"/>
        <v>93.834000000000003</v>
      </c>
      <c r="AT59" s="8">
        <f t="shared" si="93"/>
        <v>1.1477625329816874</v>
      </c>
      <c r="AU59" s="8">
        <f t="shared" si="94"/>
        <v>1.1451609197179096</v>
      </c>
      <c r="AV59" s="8">
        <f t="shared" si="95"/>
        <v>1.2029999999999745</v>
      </c>
    </row>
    <row r="60" spans="2:48" x14ac:dyDescent="0.25">
      <c r="B60" s="27" t="s">
        <v>34</v>
      </c>
      <c r="D60" s="7">
        <v>39.6</v>
      </c>
      <c r="E60" s="7">
        <v>38.9</v>
      </c>
      <c r="F60" s="7">
        <v>36.799999999999997</v>
      </c>
      <c r="G60" s="7"/>
      <c r="H60">
        <f t="shared" si="110"/>
        <v>3960</v>
      </c>
      <c r="I60">
        <f t="shared" si="98"/>
        <v>3890</v>
      </c>
      <c r="J60">
        <f t="shared" si="99"/>
        <v>3679.9999999999995</v>
      </c>
      <c r="L60" s="6">
        <v>11880</v>
      </c>
      <c r="M60" s="6">
        <v>11880</v>
      </c>
      <c r="N60" s="6">
        <v>11880</v>
      </c>
      <c r="Q60" s="7">
        <f t="shared" si="111"/>
        <v>0.33333333333333331</v>
      </c>
      <c r="R60" s="7">
        <f t="shared" si="100"/>
        <v>0.32744107744107742</v>
      </c>
      <c r="S60" s="7">
        <f t="shared" si="101"/>
        <v>0.30976430976430974</v>
      </c>
      <c r="U60" s="27" t="s">
        <v>53</v>
      </c>
      <c r="V60" s="47">
        <v>1246</v>
      </c>
      <c r="W60" s="47">
        <v>1251</v>
      </c>
      <c r="X60" s="47">
        <v>1290.477453580902</v>
      </c>
      <c r="Y60" s="47">
        <f t="shared" si="77"/>
        <v>1262.4924845269672</v>
      </c>
      <c r="Z60" s="48">
        <f t="shared" si="78"/>
        <v>1130.4367816091958</v>
      </c>
      <c r="AA60" s="48">
        <f t="shared" si="79"/>
        <v>948.46808510638266</v>
      </c>
      <c r="AB60" s="48">
        <f t="shared" si="80"/>
        <v>1058.9543646009161</v>
      </c>
      <c r="AD60" s="67">
        <f t="shared" si="112"/>
        <v>76.045977011494273</v>
      </c>
      <c r="AE60" s="67">
        <f t="shared" si="102"/>
        <v>70.38297872340425</v>
      </c>
      <c r="AF60" s="67">
        <f t="shared" si="103"/>
        <v>75.181818181818187</v>
      </c>
      <c r="AH60" s="48">
        <f t="shared" si="84"/>
        <v>1054.3908045977016</v>
      </c>
      <c r="AI60" s="48">
        <f t="shared" si="85"/>
        <v>878.08510638297844</v>
      </c>
      <c r="AJ60" s="48">
        <f t="shared" si="86"/>
        <v>983.77254641909781</v>
      </c>
      <c r="AL60" s="9">
        <f t="shared" si="104"/>
        <v>971.09393103448315</v>
      </c>
      <c r="AM60" s="9">
        <f t="shared" si="105"/>
        <v>808.71638297872312</v>
      </c>
      <c r="AN60" s="9">
        <f t="shared" si="106"/>
        <v>906.05451525198907</v>
      </c>
      <c r="AP60" s="8">
        <f t="shared" si="107"/>
        <v>82.242482758620724</v>
      </c>
      <c r="AQ60" s="8">
        <f t="shared" si="108"/>
        <v>68.490638297872323</v>
      </c>
      <c r="AR60" s="8">
        <f t="shared" si="109"/>
        <v>76.73425862068963</v>
      </c>
      <c r="AT60" s="8">
        <f t="shared" si="93"/>
        <v>1.0543908045976877</v>
      </c>
      <c r="AU60" s="8">
        <f t="shared" si="94"/>
        <v>0.87808510638296866</v>
      </c>
      <c r="AV60" s="8">
        <f t="shared" si="95"/>
        <v>0.98377254641911804</v>
      </c>
    </row>
    <row r="61" spans="2:48" x14ac:dyDescent="0.25">
      <c r="B61" s="27" t="s">
        <v>38</v>
      </c>
      <c r="D61" s="7">
        <v>46.5</v>
      </c>
      <c r="E61" s="7">
        <v>48.9</v>
      </c>
      <c r="F61" s="7">
        <v>45.6</v>
      </c>
      <c r="G61" s="7"/>
      <c r="H61">
        <f t="shared" si="110"/>
        <v>4650</v>
      </c>
      <c r="I61">
        <f t="shared" si="98"/>
        <v>4890</v>
      </c>
      <c r="J61">
        <f t="shared" si="99"/>
        <v>4560</v>
      </c>
      <c r="L61" s="6">
        <v>11680</v>
      </c>
      <c r="M61" s="6">
        <v>11680</v>
      </c>
      <c r="N61" s="6">
        <v>11680</v>
      </c>
      <c r="Q61" s="7">
        <f t="shared" si="111"/>
        <v>0.39811643835616439</v>
      </c>
      <c r="R61" s="7">
        <f t="shared" si="100"/>
        <v>0.41866438356164382</v>
      </c>
      <c r="S61" s="7">
        <f t="shared" si="101"/>
        <v>0.3904109589041096</v>
      </c>
      <c r="U61" s="27" t="s">
        <v>55</v>
      </c>
      <c r="V61" s="47">
        <v>1114</v>
      </c>
      <c r="W61" s="47">
        <v>1116.4253393665158</v>
      </c>
      <c r="X61" s="47">
        <v>1111</v>
      </c>
      <c r="Y61" s="47">
        <f t="shared" si="77"/>
        <v>1113.8084464555052</v>
      </c>
      <c r="Z61" s="48">
        <f t="shared" si="78"/>
        <v>1037.5892420537898</v>
      </c>
      <c r="AA61" s="48">
        <f t="shared" si="79"/>
        <v>988.83781852822131</v>
      </c>
      <c r="AB61" s="48">
        <f t="shared" si="80"/>
        <v>926.03703703703695</v>
      </c>
      <c r="AD61" s="67">
        <f t="shared" si="112"/>
        <v>68.850855745721276</v>
      </c>
      <c r="AE61" s="67">
        <f t="shared" si="102"/>
        <v>67.368421052631589</v>
      </c>
      <c r="AF61" s="67">
        <f t="shared" si="103"/>
        <v>65.185185185185176</v>
      </c>
      <c r="AH61" s="48">
        <f t="shared" si="84"/>
        <v>968.73838630806858</v>
      </c>
      <c r="AI61" s="48">
        <f t="shared" si="85"/>
        <v>921.46939747558974</v>
      </c>
      <c r="AJ61" s="48">
        <f t="shared" si="86"/>
        <v>860.85185185185173</v>
      </c>
      <c r="AL61" s="9">
        <f t="shared" si="104"/>
        <v>892.20805378973103</v>
      </c>
      <c r="AM61" s="9">
        <f t="shared" si="105"/>
        <v>848.67331507501808</v>
      </c>
      <c r="AN61" s="9">
        <f t="shared" si="106"/>
        <v>792.84455555555542</v>
      </c>
      <c r="AP61" s="8">
        <f t="shared" si="107"/>
        <v>75.561594132029356</v>
      </c>
      <c r="AQ61" s="8">
        <f t="shared" si="108"/>
        <v>71.874613003096002</v>
      </c>
      <c r="AR61" s="8">
        <f t="shared" si="109"/>
        <v>67.146444444444427</v>
      </c>
      <c r="AT61" s="8">
        <f t="shared" si="93"/>
        <v>0.96873838630824594</v>
      </c>
      <c r="AU61" s="8">
        <f t="shared" si="94"/>
        <v>0.92146939747567558</v>
      </c>
      <c r="AV61" s="8">
        <f t="shared" si="95"/>
        <v>0.86085185185186219</v>
      </c>
    </row>
    <row r="62" spans="2:48" x14ac:dyDescent="0.25">
      <c r="B62" s="27" t="s">
        <v>40</v>
      </c>
      <c r="D62" s="7">
        <v>52.6</v>
      </c>
      <c r="E62" s="7">
        <v>50.8</v>
      </c>
      <c r="F62" s="7">
        <v>48.9</v>
      </c>
      <c r="G62" s="7"/>
      <c r="H62">
        <f t="shared" si="110"/>
        <v>5260</v>
      </c>
      <c r="I62">
        <f t="shared" si="98"/>
        <v>5080</v>
      </c>
      <c r="J62">
        <f t="shared" si="99"/>
        <v>4890</v>
      </c>
      <c r="L62" s="6">
        <v>10840</v>
      </c>
      <c r="M62" s="6">
        <v>10840</v>
      </c>
      <c r="N62" s="6">
        <v>10840</v>
      </c>
      <c r="Q62" s="7">
        <f t="shared" si="111"/>
        <v>0.48523985239852396</v>
      </c>
      <c r="R62" s="7">
        <f t="shared" si="100"/>
        <v>0.46863468634686345</v>
      </c>
      <c r="S62" s="7">
        <f t="shared" si="101"/>
        <v>0.4511070110701107</v>
      </c>
      <c r="U62" s="27" t="s">
        <v>56</v>
      </c>
      <c r="V62" s="47">
        <v>1116</v>
      </c>
      <c r="W62" s="47">
        <v>1059.2178409825469</v>
      </c>
      <c r="X62" s="47">
        <v>1104</v>
      </c>
      <c r="Y62" s="47">
        <f t="shared" si="77"/>
        <v>1093.0726136608489</v>
      </c>
      <c r="Z62" s="48">
        <f t="shared" si="78"/>
        <v>1514.1369863013701</v>
      </c>
      <c r="AA62" s="48">
        <f t="shared" si="79"/>
        <v>1046.0453169121897</v>
      </c>
      <c r="AB62" s="48">
        <f t="shared" si="80"/>
        <v>1154.8235294117649</v>
      </c>
      <c r="AD62" s="67">
        <f t="shared" si="112"/>
        <v>84.164383561643845</v>
      </c>
      <c r="AE62" s="67">
        <f t="shared" si="102"/>
        <v>67.368421052631575</v>
      </c>
      <c r="AF62" s="67">
        <f t="shared" si="103"/>
        <v>72.282352941176484</v>
      </c>
      <c r="AH62" s="48">
        <f t="shared" si="84"/>
        <v>1429.9726027397262</v>
      </c>
      <c r="AI62" s="48">
        <f t="shared" si="85"/>
        <v>978.67689585955816</v>
      </c>
      <c r="AJ62" s="48">
        <f t="shared" si="86"/>
        <v>1082.5411764705884</v>
      </c>
      <c r="AL62" s="9">
        <f t="shared" si="104"/>
        <v>1317.0047671232878</v>
      </c>
      <c r="AM62" s="9">
        <f t="shared" si="105"/>
        <v>901.36142108665297</v>
      </c>
      <c r="AN62" s="9">
        <f t="shared" si="106"/>
        <v>997.02042352941191</v>
      </c>
      <c r="AP62" s="8">
        <f t="shared" si="107"/>
        <v>111.53786301369864</v>
      </c>
      <c r="AQ62" s="8">
        <f t="shared" si="108"/>
        <v>76.336797877045541</v>
      </c>
      <c r="AR62" s="8">
        <f t="shared" si="109"/>
        <v>84.438211764705898</v>
      </c>
      <c r="AT62" s="8">
        <f t="shared" si="93"/>
        <v>1.429972602739781</v>
      </c>
      <c r="AU62" s="8">
        <f t="shared" si="94"/>
        <v>0.97867689585962125</v>
      </c>
      <c r="AV62" s="8">
        <f t="shared" si="95"/>
        <v>1.0825411764706132</v>
      </c>
    </row>
    <row r="63" spans="2:48" x14ac:dyDescent="0.25">
      <c r="B63" s="27" t="s">
        <v>42</v>
      </c>
      <c r="D63" s="7">
        <v>39.799999999999997</v>
      </c>
      <c r="E63" s="7">
        <v>39.4</v>
      </c>
      <c r="F63" s="7">
        <v>40.799999999999997</v>
      </c>
      <c r="G63" s="7"/>
      <c r="H63">
        <f t="shared" si="110"/>
        <v>3979.9999999999995</v>
      </c>
      <c r="I63">
        <f t="shared" si="98"/>
        <v>3940</v>
      </c>
      <c r="J63">
        <f t="shared" si="99"/>
        <v>4079.9999999999995</v>
      </c>
      <c r="L63" s="6">
        <v>11379.999999999998</v>
      </c>
      <c r="M63" s="6">
        <v>11379.999999999998</v>
      </c>
      <c r="N63" s="6">
        <v>11379.999999999998</v>
      </c>
      <c r="Q63" s="7">
        <f t="shared" si="111"/>
        <v>0.3497363796133568</v>
      </c>
      <c r="R63" s="7">
        <f t="shared" si="100"/>
        <v>0.34622144112478037</v>
      </c>
      <c r="S63" s="7">
        <f t="shared" si="101"/>
        <v>0.35852372583479791</v>
      </c>
      <c r="U63" s="27" t="s">
        <v>57</v>
      </c>
      <c r="V63" s="47">
        <v>1071.7537195314972</v>
      </c>
      <c r="W63" s="47">
        <v>1092.3471566280648</v>
      </c>
      <c r="X63" s="47">
        <v>1129.3281827342962</v>
      </c>
      <c r="Y63" s="47">
        <f t="shared" si="77"/>
        <v>1097.8096862979528</v>
      </c>
      <c r="Z63" s="48">
        <f t="shared" si="78"/>
        <v>1062.1374938576246</v>
      </c>
      <c r="AA63" s="48">
        <f t="shared" si="79"/>
        <v>1087.1400228591149</v>
      </c>
      <c r="AB63" s="48">
        <f t="shared" si="80"/>
        <v>1147.4575315514185</v>
      </c>
      <c r="AD63" s="67">
        <f t="shared" si="112"/>
        <v>68.284518828451894</v>
      </c>
      <c r="AE63" s="67">
        <f t="shared" si="102"/>
        <v>69.743589743589752</v>
      </c>
      <c r="AF63" s="67">
        <f t="shared" si="103"/>
        <v>72.857142857142875</v>
      </c>
      <c r="AH63" s="48">
        <f t="shared" si="84"/>
        <v>993.85297502917274</v>
      </c>
      <c r="AI63" s="48">
        <f t="shared" si="85"/>
        <v>1017.3964331155252</v>
      </c>
      <c r="AJ63" s="48">
        <f t="shared" si="86"/>
        <v>1074.6003886942756</v>
      </c>
      <c r="AL63" s="9">
        <f t="shared" si="104"/>
        <v>915.33859000186794</v>
      </c>
      <c r="AM63" s="9">
        <f t="shared" si="105"/>
        <v>937.02211489939862</v>
      </c>
      <c r="AN63" s="9">
        <f t="shared" si="106"/>
        <v>989.7069579874277</v>
      </c>
      <c r="AP63" s="8">
        <f t="shared" si="107"/>
        <v>77.52053205227547</v>
      </c>
      <c r="AQ63" s="8">
        <f t="shared" si="108"/>
        <v>79.356921783010961</v>
      </c>
      <c r="AR63" s="8">
        <f t="shared" si="109"/>
        <v>83.818830318153488</v>
      </c>
      <c r="AT63" s="8">
        <f t="shared" si="93"/>
        <v>0.9938529750293128</v>
      </c>
      <c r="AU63" s="8">
        <f t="shared" si="94"/>
        <v>1.0173964331155503</v>
      </c>
      <c r="AV63" s="8">
        <f t="shared" si="95"/>
        <v>1.0746003886943072</v>
      </c>
    </row>
    <row r="64" spans="2:48" x14ac:dyDescent="0.25">
      <c r="B64" s="27" t="s">
        <v>44</v>
      </c>
      <c r="D64" s="7">
        <v>44.6</v>
      </c>
      <c r="E64" s="7">
        <v>43.8</v>
      </c>
      <c r="F64" s="7">
        <v>42.8</v>
      </c>
      <c r="G64" s="7"/>
      <c r="H64">
        <f t="shared" si="110"/>
        <v>4460</v>
      </c>
      <c r="I64">
        <f t="shared" si="98"/>
        <v>4380</v>
      </c>
      <c r="J64">
        <f t="shared" si="99"/>
        <v>4280</v>
      </c>
      <c r="L64" s="6">
        <v>11180.000000000002</v>
      </c>
      <c r="M64" s="6">
        <v>11180.000000000002</v>
      </c>
      <c r="N64" s="6">
        <v>11180.000000000002</v>
      </c>
      <c r="Q64" s="7">
        <f t="shared" si="111"/>
        <v>0.39892665474060818</v>
      </c>
      <c r="R64" s="7">
        <f t="shared" si="100"/>
        <v>0.39177101967799638</v>
      </c>
      <c r="S64" s="7">
        <f t="shared" si="101"/>
        <v>0.38282647584973162</v>
      </c>
      <c r="U64" s="27" t="s">
        <v>58</v>
      </c>
      <c r="V64" s="47">
        <v>917.05078705078722</v>
      </c>
      <c r="W64" s="47">
        <v>948.65925239419221</v>
      </c>
      <c r="X64" s="47">
        <v>982.91277759897025</v>
      </c>
      <c r="Y64" s="47">
        <f t="shared" si="77"/>
        <v>949.54093901465001</v>
      </c>
      <c r="Z64" s="48">
        <f t="shared" si="78"/>
        <v>877.8210078210077</v>
      </c>
      <c r="AA64" s="48">
        <f t="shared" si="79"/>
        <v>704.88405469242184</v>
      </c>
      <c r="AB64" s="48">
        <f t="shared" si="80"/>
        <v>796.74823935018208</v>
      </c>
      <c r="AD64" s="67">
        <f t="shared" si="112"/>
        <v>57.435897435897438</v>
      </c>
      <c r="AE64" s="67">
        <f t="shared" si="102"/>
        <v>52.913385826771652</v>
      </c>
      <c r="AF64" s="67">
        <f t="shared" si="103"/>
        <v>56.949152542372879</v>
      </c>
      <c r="AH64" s="48">
        <f t="shared" si="84"/>
        <v>820.38511038511024</v>
      </c>
      <c r="AI64" s="48">
        <f t="shared" si="85"/>
        <v>651.97066886565017</v>
      </c>
      <c r="AJ64" s="48">
        <f t="shared" si="86"/>
        <v>739.7990868078092</v>
      </c>
      <c r="AL64" s="9">
        <f t="shared" si="104"/>
        <v>755.5746866646864</v>
      </c>
      <c r="AM64" s="9">
        <f t="shared" si="105"/>
        <v>600.46498602526378</v>
      </c>
      <c r="AN64" s="9">
        <f t="shared" si="106"/>
        <v>681.35495894999224</v>
      </c>
      <c r="AP64" s="8">
        <f t="shared" si="107"/>
        <v>63.990038610038603</v>
      </c>
      <c r="AQ64" s="8">
        <f t="shared" si="108"/>
        <v>50.853712171520712</v>
      </c>
      <c r="AR64" s="8">
        <f t="shared" si="109"/>
        <v>57.704328771009116</v>
      </c>
      <c r="AT64" s="8">
        <f t="shared" si="93"/>
        <v>0.82038511038524575</v>
      </c>
      <c r="AU64" s="8">
        <f t="shared" si="94"/>
        <v>0.6519706688657152</v>
      </c>
      <c r="AV64" s="8">
        <f t="shared" si="95"/>
        <v>0.73979908680780682</v>
      </c>
    </row>
    <row r="65" spans="2:43" x14ac:dyDescent="0.25">
      <c r="B65" s="27" t="s">
        <v>46</v>
      </c>
      <c r="D65" s="7">
        <v>39.5</v>
      </c>
      <c r="E65" s="7">
        <v>36.799999999999997</v>
      </c>
      <c r="F65" s="7">
        <v>34.5</v>
      </c>
      <c r="G65" s="7"/>
      <c r="H65">
        <f t="shared" si="110"/>
        <v>3950</v>
      </c>
      <c r="I65">
        <f t="shared" si="98"/>
        <v>3679.9999999999995</v>
      </c>
      <c r="J65">
        <f t="shared" si="99"/>
        <v>3450</v>
      </c>
      <c r="L65" s="6">
        <v>10760</v>
      </c>
      <c r="M65" s="6">
        <v>10760</v>
      </c>
      <c r="N65" s="6">
        <v>10760</v>
      </c>
      <c r="Q65" s="7">
        <f t="shared" si="111"/>
        <v>0.36710037174721188</v>
      </c>
      <c r="R65" s="7">
        <f t="shared" si="100"/>
        <v>0.34200743494423785</v>
      </c>
      <c r="S65" s="7">
        <f t="shared" si="101"/>
        <v>0.32063197026022305</v>
      </c>
    </row>
    <row r="66" spans="2:43" x14ac:dyDescent="0.25">
      <c r="B66" s="27" t="s">
        <v>48</v>
      </c>
      <c r="D66" s="7">
        <v>20.100000000000001</v>
      </c>
      <c r="E66" s="7">
        <v>22.6</v>
      </c>
      <c r="F66" s="7">
        <v>26.5</v>
      </c>
      <c r="G66" s="7"/>
      <c r="H66">
        <f t="shared" si="110"/>
        <v>2010.0000000000002</v>
      </c>
      <c r="I66">
        <f t="shared" si="98"/>
        <v>2260</v>
      </c>
      <c r="J66">
        <f t="shared" si="99"/>
        <v>2650</v>
      </c>
      <c r="L66" s="9">
        <v>11000</v>
      </c>
      <c r="M66" s="9">
        <v>11000</v>
      </c>
      <c r="N66" s="9">
        <v>11000</v>
      </c>
      <c r="Q66" s="7">
        <f t="shared" si="111"/>
        <v>0.18272727272727274</v>
      </c>
      <c r="R66" s="7">
        <f t="shared" si="100"/>
        <v>0.20545454545454545</v>
      </c>
      <c r="S66" s="7">
        <f t="shared" si="101"/>
        <v>0.24090909090909091</v>
      </c>
    </row>
    <row r="67" spans="2:43" x14ac:dyDescent="0.25">
      <c r="B67" s="27" t="s">
        <v>49</v>
      </c>
      <c r="D67" s="7">
        <v>39.799999999999997</v>
      </c>
      <c r="E67" s="7">
        <v>35.1</v>
      </c>
      <c r="F67" s="7">
        <v>39.5</v>
      </c>
      <c r="G67" s="7"/>
      <c r="H67">
        <f t="shared" si="110"/>
        <v>3979.9999999999995</v>
      </c>
      <c r="I67">
        <f t="shared" si="98"/>
        <v>3510</v>
      </c>
      <c r="J67">
        <f t="shared" si="99"/>
        <v>3950</v>
      </c>
      <c r="L67" s="9">
        <v>10650</v>
      </c>
      <c r="M67" s="9">
        <v>10650</v>
      </c>
      <c r="N67" s="9">
        <v>10650</v>
      </c>
      <c r="Q67" s="7">
        <f t="shared" si="111"/>
        <v>0.37370892018779339</v>
      </c>
      <c r="R67" s="7">
        <f t="shared" si="100"/>
        <v>0.3295774647887324</v>
      </c>
      <c r="S67" s="7">
        <f t="shared" si="101"/>
        <v>0.37089201877934275</v>
      </c>
      <c r="AO67" s="49"/>
      <c r="AP67" s="49" t="s">
        <v>72</v>
      </c>
      <c r="AQ67" s="49"/>
    </row>
    <row r="68" spans="2:43" x14ac:dyDescent="0.25">
      <c r="B68" s="27" t="s">
        <v>50</v>
      </c>
      <c r="D68" s="7">
        <v>48.95</v>
      </c>
      <c r="E68" s="7">
        <v>49.5</v>
      </c>
      <c r="F68" s="7">
        <v>44.5</v>
      </c>
      <c r="G68" s="7"/>
      <c r="H68">
        <f t="shared" si="110"/>
        <v>4895</v>
      </c>
      <c r="I68">
        <f t="shared" si="98"/>
        <v>4950</v>
      </c>
      <c r="J68">
        <f t="shared" si="99"/>
        <v>4450</v>
      </c>
      <c r="L68" s="9">
        <v>10180</v>
      </c>
      <c r="M68" s="9">
        <v>10180</v>
      </c>
      <c r="N68" s="9">
        <v>10180</v>
      </c>
      <c r="Q68" s="7">
        <f t="shared" si="111"/>
        <v>0.48084479371316308</v>
      </c>
      <c r="R68" s="7">
        <f t="shared" si="100"/>
        <v>0.4862475442043222</v>
      </c>
      <c r="S68" s="7">
        <f t="shared" si="101"/>
        <v>0.43713163064833005</v>
      </c>
      <c r="AH68" s="47">
        <v>146.22641509433961</v>
      </c>
      <c r="AI68" s="47">
        <v>164.19491525423729</v>
      </c>
      <c r="AJ68" s="47">
        <v>179.73098330241191</v>
      </c>
      <c r="AP68" s="35" t="s">
        <v>67</v>
      </c>
    </row>
    <row r="69" spans="2:43" x14ac:dyDescent="0.25">
      <c r="B69" s="27" t="s">
        <v>52</v>
      </c>
      <c r="D69" s="7">
        <v>38.4</v>
      </c>
      <c r="E69" s="7">
        <v>37.799999999999997</v>
      </c>
      <c r="F69" s="7">
        <v>35.4</v>
      </c>
      <c r="G69" s="7"/>
      <c r="H69">
        <f t="shared" si="110"/>
        <v>3840</v>
      </c>
      <c r="I69">
        <f t="shared" si="98"/>
        <v>3779.9999999999995</v>
      </c>
      <c r="J69">
        <f t="shared" si="99"/>
        <v>3540</v>
      </c>
      <c r="L69" s="9">
        <v>9990</v>
      </c>
      <c r="M69" s="9">
        <v>9990</v>
      </c>
      <c r="N69" s="9">
        <v>9990</v>
      </c>
      <c r="Q69" s="7">
        <f t="shared" si="111"/>
        <v>0.38438438438438438</v>
      </c>
      <c r="R69" s="7">
        <f t="shared" si="100"/>
        <v>0.37837837837837834</v>
      </c>
      <c r="S69" s="7">
        <f t="shared" si="101"/>
        <v>0.35435435435435436</v>
      </c>
      <c r="AH69" s="47">
        <v>93.963730569948183</v>
      </c>
      <c r="AI69" s="47">
        <v>95.952380952380949</v>
      </c>
      <c r="AJ69" s="47">
        <v>100.19337016574586</v>
      </c>
      <c r="AO69" s="6">
        <v>1263</v>
      </c>
      <c r="AP69" s="6">
        <v>1263</v>
      </c>
      <c r="AQ69" s="6">
        <v>1263</v>
      </c>
    </row>
    <row r="70" spans="2:43" x14ac:dyDescent="0.25">
      <c r="B70" s="27" t="s">
        <v>53</v>
      </c>
      <c r="D70" s="7">
        <v>37.5</v>
      </c>
      <c r="E70" s="7">
        <v>47.5</v>
      </c>
      <c r="F70" s="7">
        <v>43.5</v>
      </c>
      <c r="G70" s="7"/>
      <c r="H70">
        <f t="shared" si="110"/>
        <v>3750</v>
      </c>
      <c r="I70">
        <f t="shared" si="98"/>
        <v>4750</v>
      </c>
      <c r="J70">
        <f t="shared" si="99"/>
        <v>4350</v>
      </c>
      <c r="L70" s="9">
        <v>9680</v>
      </c>
      <c r="M70" s="9">
        <v>9680</v>
      </c>
      <c r="N70" s="9">
        <v>9680</v>
      </c>
      <c r="Q70" s="7">
        <f t="shared" si="111"/>
        <v>0.38739669421487605</v>
      </c>
      <c r="R70" s="7">
        <f t="shared" si="100"/>
        <v>0.49070247933884298</v>
      </c>
      <c r="S70" s="7">
        <f t="shared" si="101"/>
        <v>0.44938016528925617</v>
      </c>
      <c r="AH70" s="47">
        <v>95.629820051413887</v>
      </c>
      <c r="AI70" s="47">
        <v>88.151658767772503</v>
      </c>
      <c r="AJ70" s="47">
        <v>85.517241379310349</v>
      </c>
      <c r="AO70" s="6">
        <v>1212</v>
      </c>
      <c r="AP70" s="6">
        <v>1212</v>
      </c>
      <c r="AQ70" s="6">
        <v>1212</v>
      </c>
    </row>
    <row r="71" spans="2:43" x14ac:dyDescent="0.25">
      <c r="B71" s="27" t="s">
        <v>55</v>
      </c>
      <c r="D71" s="7">
        <v>47.5</v>
      </c>
      <c r="E71" s="7">
        <v>53.5</v>
      </c>
      <c r="F71" s="7">
        <v>47.8</v>
      </c>
      <c r="G71" s="7"/>
      <c r="H71">
        <f t="shared" si="110"/>
        <v>4750</v>
      </c>
      <c r="I71">
        <f t="shared" si="98"/>
        <v>5350</v>
      </c>
      <c r="J71">
        <f t="shared" si="99"/>
        <v>4780</v>
      </c>
      <c r="L71" s="9">
        <v>8560</v>
      </c>
      <c r="M71" s="9">
        <v>8560</v>
      </c>
      <c r="N71" s="9">
        <v>8560</v>
      </c>
      <c r="Q71" s="7">
        <f t="shared" si="111"/>
        <v>0.55490654205607481</v>
      </c>
      <c r="R71" s="7">
        <f t="shared" si="100"/>
        <v>0.625</v>
      </c>
      <c r="S71" s="7">
        <f t="shared" si="101"/>
        <v>0.55841121495327106</v>
      </c>
      <c r="AH71" s="47">
        <v>85.597014925373145</v>
      </c>
      <c r="AI71" s="47">
        <v>87.113924050632917</v>
      </c>
      <c r="AJ71" s="47">
        <v>88.45758354755786</v>
      </c>
      <c r="AO71" s="6">
        <v>1205</v>
      </c>
      <c r="AP71" s="6">
        <v>1205</v>
      </c>
      <c r="AQ71" s="6">
        <v>1205</v>
      </c>
    </row>
    <row r="72" spans="2:43" x14ac:dyDescent="0.25">
      <c r="B72" s="27" t="s">
        <v>56</v>
      </c>
      <c r="D72" s="7">
        <v>40.5</v>
      </c>
      <c r="E72" s="7">
        <v>35.799999999999997</v>
      </c>
      <c r="F72" s="7">
        <v>41.6</v>
      </c>
      <c r="G72" s="7"/>
      <c r="H72">
        <f t="shared" si="110"/>
        <v>4050</v>
      </c>
      <c r="I72">
        <f t="shared" si="98"/>
        <v>3579.9999999999995</v>
      </c>
      <c r="J72">
        <f t="shared" si="99"/>
        <v>4160</v>
      </c>
      <c r="L72" s="9">
        <v>9280</v>
      </c>
      <c r="M72" s="9">
        <v>9280</v>
      </c>
      <c r="N72" s="9">
        <v>9280</v>
      </c>
      <c r="Q72" s="7">
        <f t="shared" si="111"/>
        <v>0.43642241379310343</v>
      </c>
      <c r="R72" s="7">
        <f t="shared" si="100"/>
        <v>0.38577586206896547</v>
      </c>
      <c r="S72" s="7">
        <f t="shared" si="101"/>
        <v>0.44827586206896552</v>
      </c>
      <c r="AH72" s="47">
        <v>89.178082191780831</v>
      </c>
      <c r="AI72" s="47">
        <v>91.176470588235304</v>
      </c>
      <c r="AJ72" s="47">
        <v>93.534482758620712</v>
      </c>
      <c r="AO72" s="6">
        <v>1188</v>
      </c>
      <c r="AP72" s="6">
        <v>1188</v>
      </c>
      <c r="AQ72" s="6">
        <v>1188</v>
      </c>
    </row>
    <row r="73" spans="2:43" x14ac:dyDescent="0.25">
      <c r="B73" s="27" t="s">
        <v>57</v>
      </c>
      <c r="D73" s="7">
        <v>41.5</v>
      </c>
      <c r="E73" s="7">
        <v>42.6</v>
      </c>
      <c r="F73" s="7">
        <v>45.3</v>
      </c>
      <c r="G73" s="7"/>
      <c r="H73">
        <f t="shared" si="110"/>
        <v>4150</v>
      </c>
      <c r="I73">
        <f t="shared" si="98"/>
        <v>4260</v>
      </c>
      <c r="J73">
        <f t="shared" si="99"/>
        <v>4530</v>
      </c>
      <c r="L73" s="9">
        <v>8840</v>
      </c>
      <c r="M73" s="9">
        <v>8840</v>
      </c>
      <c r="N73" s="9">
        <v>8840</v>
      </c>
      <c r="Q73" s="7">
        <f t="shared" si="111"/>
        <v>0.46945701357466063</v>
      </c>
      <c r="R73" s="7">
        <f t="shared" si="100"/>
        <v>0.48190045248868779</v>
      </c>
      <c r="S73" s="7">
        <f t="shared" si="101"/>
        <v>0.51244343891402711</v>
      </c>
      <c r="AH73" s="47">
        <v>77.678160919540247</v>
      </c>
      <c r="AI73" s="47">
        <v>79.505882352941171</v>
      </c>
      <c r="AJ73" s="47">
        <v>80.644391408114572</v>
      </c>
      <c r="AO73" s="6">
        <v>1168</v>
      </c>
      <c r="AP73" s="6">
        <v>1168</v>
      </c>
      <c r="AQ73" s="6">
        <v>1168</v>
      </c>
    </row>
    <row r="74" spans="2:43" x14ac:dyDescent="0.25">
      <c r="B74" s="27" t="s">
        <v>58</v>
      </c>
      <c r="D74" s="7">
        <v>35.6</v>
      </c>
      <c r="E74" s="7">
        <v>38.6</v>
      </c>
      <c r="F74" s="7">
        <v>34.5</v>
      </c>
      <c r="G74" s="7"/>
      <c r="H74">
        <f t="shared" si="110"/>
        <v>3560</v>
      </c>
      <c r="I74">
        <f t="shared" si="98"/>
        <v>3860</v>
      </c>
      <c r="J74">
        <f t="shared" si="99"/>
        <v>3450</v>
      </c>
      <c r="L74" s="9">
        <v>8370</v>
      </c>
      <c r="M74" s="9">
        <v>8370</v>
      </c>
      <c r="N74" s="9">
        <v>8370</v>
      </c>
      <c r="Q74" s="7">
        <f t="shared" si="111"/>
        <v>0.42532855436081241</v>
      </c>
      <c r="R74" s="7">
        <f t="shared" si="100"/>
        <v>0.46117084826762245</v>
      </c>
      <c r="S74" s="7">
        <f t="shared" si="101"/>
        <v>0.41218637992831542</v>
      </c>
      <c r="AH74" s="47">
        <v>77.838427947598262</v>
      </c>
      <c r="AI74" s="47">
        <v>74.894957983193279</v>
      </c>
      <c r="AJ74" s="47">
        <v>80.112359550561791</v>
      </c>
      <c r="AO74" s="6">
        <v>1084</v>
      </c>
      <c r="AP74" s="6">
        <v>1084</v>
      </c>
      <c r="AQ74" s="6">
        <v>1084</v>
      </c>
    </row>
    <row r="75" spans="2:43" x14ac:dyDescent="0.25">
      <c r="AH75" s="47">
        <v>75.905349794238674</v>
      </c>
      <c r="AI75" s="47">
        <v>77.56518082422204</v>
      </c>
      <c r="AJ75" s="47">
        <v>80.545851528384276</v>
      </c>
      <c r="AO75" s="6">
        <v>1138</v>
      </c>
      <c r="AP75" s="6">
        <v>1138</v>
      </c>
      <c r="AQ75" s="6">
        <v>1138</v>
      </c>
    </row>
    <row r="76" spans="2:43" x14ac:dyDescent="0.25">
      <c r="E76" s="49" t="s">
        <v>74</v>
      </c>
      <c r="M76" s="49" t="s">
        <v>68</v>
      </c>
      <c r="R76" s="35" t="s">
        <v>117</v>
      </c>
      <c r="U76" s="68"/>
      <c r="V76" s="66" t="s">
        <v>75</v>
      </c>
      <c r="W76" s="66"/>
      <c r="X76" s="66"/>
      <c r="Y76" s="66"/>
      <c r="Z76" s="66" t="s">
        <v>76</v>
      </c>
      <c r="AA76" s="66"/>
      <c r="AB76" s="66"/>
      <c r="AC76" s="66"/>
      <c r="AD76" s="66" t="s">
        <v>77</v>
      </c>
      <c r="AE76" s="68"/>
      <c r="AH76" s="47">
        <v>63.436293436293447</v>
      </c>
      <c r="AI76" s="47">
        <v>65.983935742971894</v>
      </c>
      <c r="AJ76" s="47">
        <v>68.744769874477001</v>
      </c>
      <c r="AO76" s="6">
        <v>1118</v>
      </c>
      <c r="AP76" s="6">
        <v>1118</v>
      </c>
      <c r="AQ76" s="6">
        <v>1118</v>
      </c>
    </row>
    <row r="77" spans="2:43" x14ac:dyDescent="0.25">
      <c r="C77" s="27" t="s">
        <v>22</v>
      </c>
      <c r="D77">
        <f>D57/10</f>
        <v>2.65</v>
      </c>
      <c r="E77">
        <f t="shared" ref="E77:F77" si="113">E57/10</f>
        <v>2.1800000000000002</v>
      </c>
      <c r="F77">
        <f t="shared" si="113"/>
        <v>2.3559999999999999</v>
      </c>
      <c r="K77" s="27" t="s">
        <v>22</v>
      </c>
      <c r="L77" s="47">
        <f>(L57/1000)*10000</f>
        <v>126299.99999999999</v>
      </c>
      <c r="M77" s="47">
        <f t="shared" ref="M77:N77" si="114">(M57/1000)*10000</f>
        <v>126299.99999999999</v>
      </c>
      <c r="N77" s="47">
        <f t="shared" si="114"/>
        <v>126299.99999999999</v>
      </c>
      <c r="Q77" s="48">
        <v>4766.0377358490559</v>
      </c>
      <c r="R77" s="48">
        <v>5793.577981651375</v>
      </c>
      <c r="S77" s="48">
        <v>5360.7809847198641</v>
      </c>
      <c r="U77" s="69">
        <f>(Q77*93.62)/100</f>
        <v>4461.9645283018863</v>
      </c>
      <c r="V77" s="69">
        <f t="shared" ref="V77:V94" si="115">(R77*93.62)/100</f>
        <v>5423.9477064220173</v>
      </c>
      <c r="W77" s="69">
        <f t="shared" ref="W77:W94" si="116">(S77*93.62)/100</f>
        <v>5018.7631578947367</v>
      </c>
      <c r="X77" s="68"/>
      <c r="Y77" s="70">
        <f>(Q77*6.3)/100</f>
        <v>300.26037735849053</v>
      </c>
      <c r="Z77" s="70">
        <f t="shared" ref="Z77:Z94" si="117">(R77*6.3)/100</f>
        <v>364.99541284403659</v>
      </c>
      <c r="AA77" s="70">
        <f t="shared" ref="AA77:AA94" si="118">(S77*6.3)/100</f>
        <v>337.7292020373514</v>
      </c>
      <c r="AB77" s="68"/>
      <c r="AC77" s="70">
        <f>(Q77-(U77+Y77))</f>
        <v>3.8128301886790723</v>
      </c>
      <c r="AD77" s="70">
        <f t="shared" ref="AD77:AD94" si="119">(R77-(V77+Z77))</f>
        <v>4.6348623853209574</v>
      </c>
      <c r="AE77" s="70">
        <f t="shared" ref="AE77:AE94" si="120">(S77-(W77+AA77))</f>
        <v>4.288624787775916</v>
      </c>
      <c r="AH77" s="47">
        <v>213.88679245283024</v>
      </c>
      <c r="AI77" s="47">
        <v>363.33333333333337</v>
      </c>
      <c r="AJ77" s="47">
        <v>250.79646017699113</v>
      </c>
      <c r="AO77" s="6">
        <v>1076</v>
      </c>
      <c r="AP77" s="6">
        <v>1076</v>
      </c>
      <c r="AQ77" s="6">
        <v>1076</v>
      </c>
    </row>
    <row r="78" spans="2:43" x14ac:dyDescent="0.25">
      <c r="C78" s="27" t="s">
        <v>24</v>
      </c>
      <c r="D78" s="67">
        <f t="shared" ref="D78:F78" si="121">D58/10</f>
        <v>3.9560000000000004</v>
      </c>
      <c r="E78">
        <f t="shared" si="121"/>
        <v>4.3600000000000003</v>
      </c>
      <c r="F78">
        <f t="shared" si="121"/>
        <v>4.45</v>
      </c>
      <c r="K78" s="27" t="s">
        <v>24</v>
      </c>
      <c r="L78" s="47">
        <f t="shared" ref="L78:N78" si="122">(L58/1000)*10000</f>
        <v>121199.99999999999</v>
      </c>
      <c r="M78" s="47">
        <f t="shared" si="122"/>
        <v>121199.99999999999</v>
      </c>
      <c r="N78" s="47">
        <f t="shared" si="122"/>
        <v>121199.99999999999</v>
      </c>
      <c r="Q78" s="48">
        <v>3000</v>
      </c>
      <c r="R78" s="48">
        <v>3053.9845758354759</v>
      </c>
      <c r="S78" s="48">
        <v>3228.2608695652175</v>
      </c>
      <c r="U78" s="69">
        <f t="shared" ref="U78:U94" si="123">(Q78*93.62)/100</f>
        <v>2808.6</v>
      </c>
      <c r="V78" s="69">
        <f t="shared" si="115"/>
        <v>2859.1403598971729</v>
      </c>
      <c r="W78" s="69">
        <f t="shared" si="116"/>
        <v>3022.2978260869568</v>
      </c>
      <c r="X78" s="68"/>
      <c r="Y78" s="70">
        <f t="shared" ref="Y78:Y94" si="124">(Q78*6.3)/100</f>
        <v>189</v>
      </c>
      <c r="Z78" s="70">
        <f t="shared" si="117"/>
        <v>192.40102827763496</v>
      </c>
      <c r="AA78" s="70">
        <f t="shared" si="118"/>
        <v>203.38043478260869</v>
      </c>
      <c r="AB78" s="68"/>
      <c r="AC78" s="70">
        <f t="shared" ref="AC78:AC94" si="125">(Q78-(U78+Y78))</f>
        <v>2.4000000000000909</v>
      </c>
      <c r="AD78" s="70">
        <f t="shared" si="119"/>
        <v>2.4431876606681726</v>
      </c>
      <c r="AE78" s="70">
        <f t="shared" si="120"/>
        <v>2.5826086956521976</v>
      </c>
      <c r="AH78" s="47">
        <v>139.89130434782609</v>
      </c>
      <c r="AI78" s="47">
        <v>143.3983286908078</v>
      </c>
      <c r="AJ78" s="47">
        <v>129.34673366834173</v>
      </c>
      <c r="AO78" s="9">
        <v>1100</v>
      </c>
      <c r="AP78" s="9">
        <v>1100</v>
      </c>
      <c r="AQ78" s="9">
        <v>1100</v>
      </c>
    </row>
    <row r="79" spans="2:43" x14ac:dyDescent="0.25">
      <c r="C79" s="27" t="s">
        <v>31</v>
      </c>
      <c r="D79">
        <f t="shared" ref="D79:F79" si="126">D59/10</f>
        <v>4.95</v>
      </c>
      <c r="E79">
        <f t="shared" si="126"/>
        <v>4.8600000000000003</v>
      </c>
      <c r="F79">
        <f t="shared" si="126"/>
        <v>4.6500000000000004</v>
      </c>
      <c r="K79" s="27" t="s">
        <v>31</v>
      </c>
      <c r="L79" s="47">
        <f t="shared" ref="L79:N79" si="127">(L59/1000)*10000</f>
        <v>120500</v>
      </c>
      <c r="M79" s="47">
        <f t="shared" si="127"/>
        <v>120500</v>
      </c>
      <c r="N79" s="47">
        <f t="shared" si="127"/>
        <v>120500</v>
      </c>
      <c r="Q79" s="48">
        <v>3063.700707785642</v>
      </c>
      <c r="R79" s="48">
        <v>2779.8165137614678</v>
      </c>
      <c r="S79" s="48">
        <v>2723.5955056179773</v>
      </c>
      <c r="U79" s="69">
        <f t="shared" si="123"/>
        <v>2868.2366026289178</v>
      </c>
      <c r="V79" s="69">
        <f t="shared" si="115"/>
        <v>2602.4642201834863</v>
      </c>
      <c r="W79" s="69">
        <f t="shared" si="116"/>
        <v>2549.8301123595506</v>
      </c>
      <c r="X79" s="68"/>
      <c r="Y79" s="70">
        <f t="shared" si="124"/>
        <v>193.01314459049544</v>
      </c>
      <c r="Z79" s="70">
        <f t="shared" si="117"/>
        <v>175.12844036697246</v>
      </c>
      <c r="AA79" s="70">
        <f t="shared" si="118"/>
        <v>171.58651685393255</v>
      </c>
      <c r="AB79" s="68"/>
      <c r="AC79" s="70">
        <f t="shared" si="125"/>
        <v>2.4509605662287868</v>
      </c>
      <c r="AD79" s="70">
        <f t="shared" si="119"/>
        <v>2.2238532110091001</v>
      </c>
      <c r="AE79" s="70">
        <f t="shared" si="120"/>
        <v>2.1788764044940763</v>
      </c>
      <c r="AH79" s="47">
        <v>143.16883116883116</v>
      </c>
      <c r="AI79" s="47">
        <v>151.42857142857144</v>
      </c>
      <c r="AJ79" s="47">
        <v>145.82010582010582</v>
      </c>
      <c r="AO79" s="9">
        <v>1065</v>
      </c>
      <c r="AP79" s="9">
        <v>1065</v>
      </c>
      <c r="AQ79" s="9">
        <v>1065</v>
      </c>
    </row>
    <row r="80" spans="2:43" x14ac:dyDescent="0.25">
      <c r="C80" s="27" t="s">
        <v>34</v>
      </c>
      <c r="D80">
        <f t="shared" ref="D80:F80" si="128">D60/10</f>
        <v>3.96</v>
      </c>
      <c r="E80">
        <f t="shared" si="128"/>
        <v>3.8899999999999997</v>
      </c>
      <c r="F80">
        <f t="shared" si="128"/>
        <v>3.6799999999999997</v>
      </c>
      <c r="K80" s="27" t="s">
        <v>34</v>
      </c>
      <c r="L80" s="47">
        <f t="shared" ref="L80:N80" si="129">(L60/1000)*10000</f>
        <v>118800.00000000001</v>
      </c>
      <c r="M80" s="47">
        <f t="shared" si="129"/>
        <v>118800.00000000001</v>
      </c>
      <c r="N80" s="47">
        <f t="shared" si="129"/>
        <v>118800.00000000001</v>
      </c>
      <c r="Q80" s="48">
        <v>2859.29648241206</v>
      </c>
      <c r="R80" s="48">
        <v>2888.3248730964465</v>
      </c>
      <c r="S80" s="48">
        <v>2789.2156862745092</v>
      </c>
      <c r="U80" s="69">
        <f t="shared" si="123"/>
        <v>2676.8733668341711</v>
      </c>
      <c r="V80" s="69">
        <f t="shared" si="115"/>
        <v>2704.0497461928935</v>
      </c>
      <c r="W80" s="69">
        <f t="shared" si="116"/>
        <v>2611.2637254901956</v>
      </c>
      <c r="X80" s="68"/>
      <c r="Y80" s="70">
        <f t="shared" si="124"/>
        <v>180.13567839195977</v>
      </c>
      <c r="Z80" s="70">
        <f t="shared" si="117"/>
        <v>181.9644670050761</v>
      </c>
      <c r="AA80" s="70">
        <f t="shared" si="118"/>
        <v>175.72058823529409</v>
      </c>
      <c r="AB80" s="68"/>
      <c r="AC80" s="70">
        <f t="shared" si="125"/>
        <v>2.2874371859293205</v>
      </c>
      <c r="AD80" s="70">
        <f t="shared" si="119"/>
        <v>2.3106598984768425</v>
      </c>
      <c r="AE80" s="70">
        <f t="shared" si="120"/>
        <v>2.2313725490193974</v>
      </c>
      <c r="AH80" s="47">
        <v>126.2269129287599</v>
      </c>
      <c r="AI80" s="47">
        <v>126.56084656084657</v>
      </c>
      <c r="AJ80" s="47">
        <v>130</v>
      </c>
      <c r="AO80" s="9">
        <v>1018</v>
      </c>
      <c r="AP80" s="9">
        <v>1018</v>
      </c>
      <c r="AQ80" s="9">
        <v>1018</v>
      </c>
    </row>
    <row r="81" spans="3:47" x14ac:dyDescent="0.25">
      <c r="C81" s="27" t="s">
        <v>38</v>
      </c>
      <c r="D81">
        <f t="shared" ref="D81:F81" si="130">D61/10</f>
        <v>4.6500000000000004</v>
      </c>
      <c r="E81">
        <f t="shared" si="130"/>
        <v>4.8899999999999997</v>
      </c>
      <c r="F81">
        <f t="shared" si="130"/>
        <v>4.5600000000000005</v>
      </c>
      <c r="K81" s="27" t="s">
        <v>38</v>
      </c>
      <c r="L81" s="47">
        <f t="shared" ref="L81:N81" si="131">(L61/1000)*10000</f>
        <v>116800</v>
      </c>
      <c r="M81" s="47">
        <f t="shared" si="131"/>
        <v>116800</v>
      </c>
      <c r="N81" s="47">
        <f t="shared" si="131"/>
        <v>116800</v>
      </c>
      <c r="Q81" s="48">
        <v>2724.0506329113923</v>
      </c>
      <c r="R81" s="48">
        <v>2923.913043478261</v>
      </c>
      <c r="S81" s="48">
        <v>3118.840579710145</v>
      </c>
      <c r="U81" s="69">
        <f t="shared" si="123"/>
        <v>2550.2562025316456</v>
      </c>
      <c r="V81" s="69">
        <f t="shared" si="115"/>
        <v>2737.3673913043481</v>
      </c>
      <c r="W81" s="69">
        <f t="shared" si="116"/>
        <v>2919.858550724638</v>
      </c>
      <c r="X81" s="68"/>
      <c r="Y81" s="70">
        <f t="shared" si="124"/>
        <v>171.61518987341771</v>
      </c>
      <c r="Z81" s="70">
        <f t="shared" si="117"/>
        <v>184.20652173913044</v>
      </c>
      <c r="AA81" s="70">
        <f t="shared" si="118"/>
        <v>196.48695652173913</v>
      </c>
      <c r="AB81" s="68"/>
      <c r="AC81" s="70">
        <f t="shared" si="125"/>
        <v>2.1792405063288243</v>
      </c>
      <c r="AD81" s="70">
        <f t="shared" si="119"/>
        <v>2.3391304347824189</v>
      </c>
      <c r="AE81" s="70">
        <f t="shared" si="120"/>
        <v>2.4950724637678832</v>
      </c>
      <c r="AH81" s="47">
        <v>123.5747126436782</v>
      </c>
      <c r="AI81" s="47">
        <v>114.37234042553192</v>
      </c>
      <c r="AJ81" s="47">
        <v>122.17045454545455</v>
      </c>
      <c r="AO81" s="9">
        <v>999</v>
      </c>
      <c r="AP81" s="9">
        <v>999</v>
      </c>
      <c r="AQ81" s="9">
        <v>999</v>
      </c>
    </row>
    <row r="82" spans="3:47" x14ac:dyDescent="0.25">
      <c r="C82" s="27" t="s">
        <v>40</v>
      </c>
      <c r="D82">
        <f t="shared" ref="D82:F82" si="132">D62/10</f>
        <v>5.26</v>
      </c>
      <c r="E82">
        <f t="shared" si="132"/>
        <v>5.08</v>
      </c>
      <c r="F82">
        <f t="shared" si="132"/>
        <v>4.8899999999999997</v>
      </c>
      <c r="K82" s="27" t="s">
        <v>40</v>
      </c>
      <c r="L82" s="47">
        <f t="shared" ref="L82:N82" si="133">(L62/1000)*10000</f>
        <v>108400</v>
      </c>
      <c r="M82" s="47">
        <f t="shared" si="133"/>
        <v>108400</v>
      </c>
      <c r="N82" s="47">
        <f t="shared" si="133"/>
        <v>108400</v>
      </c>
      <c r="Q82" s="48">
        <v>2506.7264573991038</v>
      </c>
      <c r="R82" s="48">
        <v>2552.5114155251144</v>
      </c>
      <c r="S82" s="48">
        <v>2612.1495327102812</v>
      </c>
      <c r="U82" s="69">
        <f t="shared" si="123"/>
        <v>2346.7973094170411</v>
      </c>
      <c r="V82" s="69">
        <f t="shared" si="115"/>
        <v>2389.6611872146123</v>
      </c>
      <c r="W82" s="69">
        <f t="shared" si="116"/>
        <v>2445.4943925233656</v>
      </c>
      <c r="X82" s="68"/>
      <c r="Y82" s="70">
        <f t="shared" si="124"/>
        <v>157.92376681614351</v>
      </c>
      <c r="Z82" s="70">
        <f t="shared" si="117"/>
        <v>160.8082191780822</v>
      </c>
      <c r="AA82" s="70">
        <f t="shared" si="118"/>
        <v>164.5654205607477</v>
      </c>
      <c r="AB82" s="68"/>
      <c r="AC82" s="70">
        <f t="shared" si="125"/>
        <v>2.0053811659190615</v>
      </c>
      <c r="AD82" s="70">
        <f t="shared" si="119"/>
        <v>2.0420091324199348</v>
      </c>
      <c r="AE82" s="70">
        <f t="shared" si="120"/>
        <v>2.089719626168062</v>
      </c>
      <c r="AH82" s="47">
        <v>111.88264058679708</v>
      </c>
      <c r="AI82" s="47">
        <v>109.47368421052633</v>
      </c>
      <c r="AJ82" s="47">
        <v>105.92592592592592</v>
      </c>
      <c r="AO82" s="9">
        <v>968</v>
      </c>
      <c r="AP82" s="9">
        <v>968</v>
      </c>
      <c r="AQ82" s="9">
        <v>968</v>
      </c>
    </row>
    <row r="83" spans="3:47" x14ac:dyDescent="0.25">
      <c r="C83" s="27" t="s">
        <v>42</v>
      </c>
      <c r="D83">
        <f t="shared" ref="D83:F83" si="134">D63/10</f>
        <v>3.9799999999999995</v>
      </c>
      <c r="E83">
        <f t="shared" si="134"/>
        <v>3.94</v>
      </c>
      <c r="F83">
        <f t="shared" si="134"/>
        <v>4.08</v>
      </c>
      <c r="K83" s="27" t="s">
        <v>42</v>
      </c>
      <c r="L83" s="47">
        <f t="shared" ref="L83:N83" si="135">(L63/1000)*10000</f>
        <v>113799.99999999999</v>
      </c>
      <c r="M83" s="47">
        <f t="shared" si="135"/>
        <v>113799.99999999999</v>
      </c>
      <c r="N83" s="47">
        <f t="shared" si="135"/>
        <v>113799.99999999999</v>
      </c>
      <c r="Q83" s="48">
        <v>2511.827956989247</v>
      </c>
      <c r="R83" s="48">
        <v>2388.5480572597139</v>
      </c>
      <c r="S83" s="48">
        <v>2561.4035087719294</v>
      </c>
      <c r="U83" s="69">
        <f t="shared" si="123"/>
        <v>2351.5733333333333</v>
      </c>
      <c r="V83" s="69">
        <f t="shared" si="115"/>
        <v>2236.1586912065441</v>
      </c>
      <c r="W83" s="69">
        <f t="shared" si="116"/>
        <v>2397.9859649122805</v>
      </c>
      <c r="X83" s="68"/>
      <c r="Y83" s="70">
        <f t="shared" si="124"/>
        <v>158.24516129032256</v>
      </c>
      <c r="Z83" s="70">
        <f t="shared" si="117"/>
        <v>150.47852760736197</v>
      </c>
      <c r="AA83" s="70">
        <f t="shared" si="118"/>
        <v>161.36842105263156</v>
      </c>
      <c r="AB83" s="68"/>
      <c r="AC83" s="70">
        <f t="shared" si="125"/>
        <v>2.0094623655913892</v>
      </c>
      <c r="AD83" s="70">
        <f t="shared" si="119"/>
        <v>1.9108384458077126</v>
      </c>
      <c r="AE83" s="70">
        <f t="shared" si="120"/>
        <v>2.0491228070172838</v>
      </c>
      <c r="AH83" s="47">
        <v>136.76712328767127</v>
      </c>
      <c r="AI83" s="47">
        <v>109.47368421052632</v>
      </c>
      <c r="AJ83" s="47">
        <v>117.45882352941179</v>
      </c>
      <c r="AO83" s="9">
        <v>856</v>
      </c>
      <c r="AP83" s="9">
        <v>856</v>
      </c>
      <c r="AQ83" s="9">
        <v>856</v>
      </c>
    </row>
    <row r="84" spans="3:47" x14ac:dyDescent="0.25">
      <c r="C84" s="27" t="s">
        <v>44</v>
      </c>
      <c r="D84">
        <f t="shared" ref="D84:F84" si="136">D64/10</f>
        <v>4.46</v>
      </c>
      <c r="E84">
        <f t="shared" si="136"/>
        <v>4.38</v>
      </c>
      <c r="F84">
        <f t="shared" si="136"/>
        <v>4.2799999999999994</v>
      </c>
      <c r="K84" s="27" t="s">
        <v>44</v>
      </c>
      <c r="L84" s="47">
        <f t="shared" ref="L84:N84" si="137">(L64/1000)*10000</f>
        <v>111800.00000000001</v>
      </c>
      <c r="M84" s="47">
        <f t="shared" si="137"/>
        <v>111800.00000000001</v>
      </c>
      <c r="N84" s="47">
        <f t="shared" si="137"/>
        <v>111800.00000000001</v>
      </c>
      <c r="Q84" s="48">
        <v>2434.3434343434342</v>
      </c>
      <c r="R84" s="48">
        <v>2479.4238683127569</v>
      </c>
      <c r="S84" s="48">
        <v>2591.3978494623652</v>
      </c>
      <c r="U84" s="69">
        <f t="shared" si="123"/>
        <v>2279.0323232323231</v>
      </c>
      <c r="V84" s="69">
        <f t="shared" si="115"/>
        <v>2321.2366255144029</v>
      </c>
      <c r="W84" s="69">
        <f t="shared" si="116"/>
        <v>2426.0666666666666</v>
      </c>
      <c r="X84" s="68"/>
      <c r="Y84" s="70">
        <f t="shared" si="124"/>
        <v>153.36363636363635</v>
      </c>
      <c r="Z84" s="70">
        <f t="shared" si="117"/>
        <v>156.2037037037037</v>
      </c>
      <c r="AA84" s="70">
        <f t="shared" si="118"/>
        <v>163.258064516129</v>
      </c>
      <c r="AB84" s="68"/>
      <c r="AC84" s="70">
        <f t="shared" si="125"/>
        <v>1.9474747474746437</v>
      </c>
      <c r="AD84" s="70">
        <f t="shared" si="119"/>
        <v>1.9835390946500411</v>
      </c>
      <c r="AE84" s="70">
        <f t="shared" si="120"/>
        <v>2.073118279569826</v>
      </c>
      <c r="AH84" s="47">
        <v>110.96234309623432</v>
      </c>
      <c r="AI84" s="47">
        <v>113.33333333333334</v>
      </c>
      <c r="AJ84" s="47">
        <v>118.39285714285717</v>
      </c>
      <c r="AO84" s="9">
        <v>928</v>
      </c>
      <c r="AP84" s="9">
        <v>928</v>
      </c>
      <c r="AQ84" s="9">
        <v>928</v>
      </c>
    </row>
    <row r="85" spans="3:47" x14ac:dyDescent="0.25">
      <c r="C85" s="27" t="s">
        <v>46</v>
      </c>
      <c r="D85">
        <f t="shared" ref="D85:F85" si="138">D65/10</f>
        <v>3.95</v>
      </c>
      <c r="E85">
        <f t="shared" si="138"/>
        <v>3.6799999999999997</v>
      </c>
      <c r="F85">
        <f t="shared" si="138"/>
        <v>3.45</v>
      </c>
      <c r="K85" s="27" t="s">
        <v>46</v>
      </c>
      <c r="L85" s="47">
        <f t="shared" ref="L85:N85" si="139">(L65/1000)*10000</f>
        <v>107600</v>
      </c>
      <c r="M85" s="47">
        <f t="shared" si="139"/>
        <v>107600</v>
      </c>
      <c r="N85" s="47">
        <f t="shared" si="139"/>
        <v>107600</v>
      </c>
      <c r="Q85" s="48">
        <v>2060.8365019011408</v>
      </c>
      <c r="R85" s="48">
        <v>2133.8582677165355</v>
      </c>
      <c r="S85" s="48">
        <v>2216.7689161554194</v>
      </c>
      <c r="U85" s="69">
        <f t="shared" si="123"/>
        <v>1929.355133079848</v>
      </c>
      <c r="V85" s="69">
        <f t="shared" si="115"/>
        <v>1997.7181102362206</v>
      </c>
      <c r="W85" s="69">
        <f t="shared" si="116"/>
        <v>2075.3390593047038</v>
      </c>
      <c r="X85" s="68"/>
      <c r="Y85" s="70">
        <f t="shared" si="124"/>
        <v>129.83269961977186</v>
      </c>
      <c r="Z85" s="70">
        <f t="shared" si="117"/>
        <v>134.43307086614175</v>
      </c>
      <c r="AA85" s="70">
        <f t="shared" si="118"/>
        <v>139.65644171779141</v>
      </c>
      <c r="AB85" s="68"/>
      <c r="AC85" s="70">
        <f t="shared" si="125"/>
        <v>1.6486692015209883</v>
      </c>
      <c r="AD85" s="70">
        <f t="shared" si="119"/>
        <v>1.7070866141730221</v>
      </c>
      <c r="AE85" s="70">
        <f t="shared" si="120"/>
        <v>1.7734151329241286</v>
      </c>
      <c r="AH85" s="47">
        <v>93.333333333333343</v>
      </c>
      <c r="AI85" s="47">
        <v>85.984251968503941</v>
      </c>
      <c r="AJ85" s="47">
        <v>92.542372881355931</v>
      </c>
      <c r="AO85" s="9">
        <v>884</v>
      </c>
      <c r="AP85" s="9">
        <v>884</v>
      </c>
      <c r="AQ85" s="9">
        <v>884</v>
      </c>
    </row>
    <row r="86" spans="3:47" x14ac:dyDescent="0.25">
      <c r="C86" s="27" t="s">
        <v>48</v>
      </c>
      <c r="D86">
        <f t="shared" ref="D86:F86" si="140">D66/10</f>
        <v>2.0100000000000002</v>
      </c>
      <c r="E86">
        <f t="shared" si="140"/>
        <v>2.2600000000000002</v>
      </c>
      <c r="F86">
        <f t="shared" si="140"/>
        <v>2.65</v>
      </c>
      <c r="K86" s="27" t="s">
        <v>48</v>
      </c>
      <c r="L86" s="47">
        <f t="shared" ref="L86:N86" si="141">(L66/1000)*10000</f>
        <v>110000</v>
      </c>
      <c r="M86" s="47">
        <f t="shared" si="141"/>
        <v>110000</v>
      </c>
      <c r="N86" s="47">
        <f t="shared" si="141"/>
        <v>110000</v>
      </c>
      <c r="Q86" s="48">
        <v>5472.6368159203976</v>
      </c>
      <c r="R86" s="48">
        <v>4867.2566371681414</v>
      </c>
      <c r="S86" s="48">
        <v>4150.9433962264156</v>
      </c>
      <c r="U86" s="69">
        <f t="shared" si="123"/>
        <v>5123.4825870646764</v>
      </c>
      <c r="V86" s="69">
        <f t="shared" si="115"/>
        <v>4556.7256637168139</v>
      </c>
      <c r="W86" s="69">
        <f t="shared" si="116"/>
        <v>3886.1132075471705</v>
      </c>
      <c r="X86" s="68"/>
      <c r="Y86" s="70">
        <f t="shared" si="124"/>
        <v>344.77611940298505</v>
      </c>
      <c r="Z86" s="70">
        <f t="shared" si="117"/>
        <v>306.63716814159289</v>
      </c>
      <c r="AA86" s="70">
        <f t="shared" si="118"/>
        <v>261.50943396226421</v>
      </c>
      <c r="AB86" s="68"/>
      <c r="AC86" s="70">
        <f t="shared" si="125"/>
        <v>4.3781094527357709</v>
      </c>
      <c r="AD86" s="70">
        <f t="shared" si="119"/>
        <v>3.8938053097344891</v>
      </c>
      <c r="AE86" s="70">
        <f t="shared" si="120"/>
        <v>3.3207547169804457</v>
      </c>
      <c r="AO86" s="9">
        <v>837</v>
      </c>
      <c r="AP86" s="9">
        <v>837</v>
      </c>
      <c r="AQ86" s="9">
        <v>837</v>
      </c>
    </row>
    <row r="87" spans="3:47" x14ac:dyDescent="0.25">
      <c r="C87" s="27" t="s">
        <v>49</v>
      </c>
      <c r="D87">
        <f t="shared" ref="D87:F87" si="142">D67/10</f>
        <v>3.9799999999999995</v>
      </c>
      <c r="E87">
        <f t="shared" si="142"/>
        <v>3.5100000000000002</v>
      </c>
      <c r="F87">
        <f t="shared" si="142"/>
        <v>3.95</v>
      </c>
      <c r="K87" s="27" t="s">
        <v>49</v>
      </c>
      <c r="L87" s="47">
        <f t="shared" ref="L87:N87" si="143">(L67/1000)*10000</f>
        <v>106500</v>
      </c>
      <c r="M87" s="47">
        <f t="shared" si="143"/>
        <v>106500</v>
      </c>
      <c r="N87" s="47">
        <f t="shared" si="143"/>
        <v>106500</v>
      </c>
      <c r="Q87" s="48">
        <v>2601.5625</v>
      </c>
      <c r="R87" s="48">
        <v>2642.8571428571431</v>
      </c>
      <c r="S87" s="48">
        <v>2822.0338983050847</v>
      </c>
      <c r="U87" s="69">
        <f t="shared" si="123"/>
        <v>2435.5828124999998</v>
      </c>
      <c r="V87" s="69">
        <f t="shared" si="115"/>
        <v>2474.2428571428572</v>
      </c>
      <c r="W87" s="69">
        <f t="shared" si="116"/>
        <v>2641.9881355932202</v>
      </c>
      <c r="X87" s="68"/>
      <c r="Y87" s="70">
        <f t="shared" si="124"/>
        <v>163.8984375</v>
      </c>
      <c r="Z87" s="70">
        <f t="shared" si="117"/>
        <v>166.5</v>
      </c>
      <c r="AA87" s="70">
        <f t="shared" si="118"/>
        <v>177.78813559322032</v>
      </c>
      <c r="AB87" s="68"/>
      <c r="AC87" s="70">
        <f t="shared" si="125"/>
        <v>2.0812500000001819</v>
      </c>
      <c r="AD87" s="70">
        <f t="shared" si="119"/>
        <v>2.1142857142858702</v>
      </c>
      <c r="AE87" s="70">
        <f t="shared" si="120"/>
        <v>2.2576271186439953</v>
      </c>
    </row>
    <row r="88" spans="3:47" x14ac:dyDescent="0.25">
      <c r="C88" s="27" t="s">
        <v>50</v>
      </c>
      <c r="D88" s="67">
        <f t="shared" ref="D88:F88" si="144">D68/10</f>
        <v>4.8950000000000005</v>
      </c>
      <c r="E88">
        <f t="shared" si="144"/>
        <v>4.95</v>
      </c>
      <c r="F88">
        <f t="shared" si="144"/>
        <v>4.45</v>
      </c>
      <c r="K88" s="27" t="s">
        <v>50</v>
      </c>
      <c r="L88" s="47">
        <f t="shared" ref="L88:N88" si="145">(L68/1000)*10000</f>
        <v>101800</v>
      </c>
      <c r="M88" s="47">
        <f t="shared" si="145"/>
        <v>101800</v>
      </c>
      <c r="N88" s="47">
        <f t="shared" si="145"/>
        <v>101800</v>
      </c>
      <c r="Q88" s="48">
        <v>2675.8793969849248</v>
      </c>
      <c r="R88" s="48">
        <v>3034.1880341880342</v>
      </c>
      <c r="S88" s="48">
        <v>2696.2025316455697</v>
      </c>
      <c r="U88" s="69">
        <f t="shared" si="123"/>
        <v>2505.1582914572869</v>
      </c>
      <c r="V88" s="69">
        <f t="shared" si="115"/>
        <v>2840.6068376068374</v>
      </c>
      <c r="W88" s="69">
        <f t="shared" si="116"/>
        <v>2524.1848101265823</v>
      </c>
      <c r="X88" s="68"/>
      <c r="Y88" s="70">
        <f t="shared" si="124"/>
        <v>168.58040201005028</v>
      </c>
      <c r="Z88" s="70">
        <f t="shared" si="117"/>
        <v>191.15384615384613</v>
      </c>
      <c r="AA88" s="70">
        <f t="shared" si="118"/>
        <v>169.86075949367088</v>
      </c>
      <c r="AB88" s="68"/>
      <c r="AC88" s="70">
        <f t="shared" si="125"/>
        <v>2.1407035175875535</v>
      </c>
      <c r="AD88" s="70">
        <f t="shared" si="119"/>
        <v>2.427350427350575</v>
      </c>
      <c r="AE88" s="70">
        <f t="shared" si="120"/>
        <v>2.1569620253167159</v>
      </c>
    </row>
    <row r="89" spans="3:47" x14ac:dyDescent="0.25">
      <c r="C89" s="27" t="s">
        <v>52</v>
      </c>
      <c r="D89">
        <f t="shared" ref="D89:F89" si="146">D69/10</f>
        <v>3.84</v>
      </c>
      <c r="E89">
        <f t="shared" si="146"/>
        <v>3.78</v>
      </c>
      <c r="F89">
        <f t="shared" si="146"/>
        <v>3.54</v>
      </c>
      <c r="K89" s="27" t="s">
        <v>52</v>
      </c>
      <c r="L89" s="47">
        <f t="shared" ref="L89:N89" si="147">(L69/1000)*10000</f>
        <v>99900</v>
      </c>
      <c r="M89" s="47">
        <f t="shared" si="147"/>
        <v>99900</v>
      </c>
      <c r="N89" s="47">
        <f t="shared" si="147"/>
        <v>99900</v>
      </c>
      <c r="Q89" s="48">
        <v>2291.358024691358</v>
      </c>
      <c r="R89" s="48">
        <v>2592.1787709497207</v>
      </c>
      <c r="S89" s="48">
        <v>2230.7692307692305</v>
      </c>
      <c r="U89" s="69">
        <f t="shared" si="123"/>
        <v>2145.1693827160493</v>
      </c>
      <c r="V89" s="69">
        <f t="shared" si="115"/>
        <v>2426.7977653631287</v>
      </c>
      <c r="W89" s="69">
        <f t="shared" si="116"/>
        <v>2088.4461538461537</v>
      </c>
      <c r="X89" s="68"/>
      <c r="Y89" s="70">
        <f t="shared" si="124"/>
        <v>144.35555555555555</v>
      </c>
      <c r="Z89" s="70">
        <f t="shared" si="117"/>
        <v>163.3072625698324</v>
      </c>
      <c r="AA89" s="70">
        <f t="shared" si="118"/>
        <v>140.53846153846152</v>
      </c>
      <c r="AB89" s="68"/>
      <c r="AC89" s="70">
        <f t="shared" si="125"/>
        <v>1.8330864197532719</v>
      </c>
      <c r="AD89" s="70">
        <f t="shared" si="119"/>
        <v>2.0737430167596358</v>
      </c>
      <c r="AE89" s="70">
        <f t="shared" si="120"/>
        <v>1.7846153846153356</v>
      </c>
    </row>
    <row r="90" spans="3:47" x14ac:dyDescent="0.25">
      <c r="C90" s="27" t="s">
        <v>53</v>
      </c>
      <c r="D90">
        <f t="shared" ref="D90:F90" si="148">D70/10</f>
        <v>3.75</v>
      </c>
      <c r="E90">
        <f t="shared" si="148"/>
        <v>4.75</v>
      </c>
      <c r="F90">
        <f t="shared" si="148"/>
        <v>4.3499999999999996</v>
      </c>
      <c r="K90" s="27" t="s">
        <v>53</v>
      </c>
      <c r="L90" s="47">
        <f t="shared" ref="L90:N90" si="149">(L70/1000)*10000</f>
        <v>96800</v>
      </c>
      <c r="M90" s="47">
        <f t="shared" si="149"/>
        <v>96800</v>
      </c>
      <c r="N90" s="47">
        <f t="shared" si="149"/>
        <v>96800</v>
      </c>
      <c r="Q90" s="48">
        <v>2351.1235955056181</v>
      </c>
      <c r="R90" s="48">
        <v>2168.3937823834194</v>
      </c>
      <c r="S90" s="48">
        <v>2426.086956521739</v>
      </c>
      <c r="U90" s="69">
        <f t="shared" si="123"/>
        <v>2201.1219101123597</v>
      </c>
      <c r="V90" s="69">
        <f t="shared" si="115"/>
        <v>2030.0502590673575</v>
      </c>
      <c r="W90" s="69">
        <f t="shared" si="116"/>
        <v>2271.302608695652</v>
      </c>
      <c r="X90" s="68"/>
      <c r="Y90" s="70">
        <f t="shared" si="124"/>
        <v>148.12078651685394</v>
      </c>
      <c r="Z90" s="70">
        <f t="shared" si="117"/>
        <v>136.60880829015542</v>
      </c>
      <c r="AA90" s="70">
        <f t="shared" si="118"/>
        <v>152.84347826086957</v>
      </c>
      <c r="AB90" s="68"/>
      <c r="AC90" s="70">
        <f t="shared" si="125"/>
        <v>1.8808988764044443</v>
      </c>
      <c r="AD90" s="70">
        <f t="shared" si="119"/>
        <v>1.7347150259065529</v>
      </c>
      <c r="AE90" s="70">
        <f t="shared" si="120"/>
        <v>1.9408695652173265</v>
      </c>
    </row>
    <row r="91" spans="3:47" x14ac:dyDescent="0.25">
      <c r="C91" s="27" t="s">
        <v>55</v>
      </c>
      <c r="D91">
        <f t="shared" ref="D91:F91" si="150">D71/10</f>
        <v>4.75</v>
      </c>
      <c r="E91">
        <f t="shared" si="150"/>
        <v>5.35</v>
      </c>
      <c r="F91">
        <f t="shared" si="150"/>
        <v>4.7799999999999994</v>
      </c>
      <c r="K91" s="27" t="s">
        <v>55</v>
      </c>
      <c r="L91" s="47">
        <f t="shared" ref="L91:N91" si="151">(L71/1000)*10000</f>
        <v>85600</v>
      </c>
      <c r="M91" s="47">
        <f t="shared" si="151"/>
        <v>85600</v>
      </c>
      <c r="N91" s="47">
        <f t="shared" si="151"/>
        <v>85600</v>
      </c>
      <c r="Q91" s="48">
        <v>2130.1204819277104</v>
      </c>
      <c r="R91" s="48">
        <v>2075.1173708920187</v>
      </c>
      <c r="S91" s="48">
        <v>1951.4348785871966</v>
      </c>
      <c r="U91" s="69">
        <f t="shared" si="123"/>
        <v>1994.2187951807227</v>
      </c>
      <c r="V91" s="69">
        <f t="shared" si="115"/>
        <v>1942.7248826291079</v>
      </c>
      <c r="W91" s="69">
        <f t="shared" si="116"/>
        <v>1826.9333333333336</v>
      </c>
      <c r="X91" s="68"/>
      <c r="Y91" s="70">
        <f t="shared" si="124"/>
        <v>134.19759036144575</v>
      </c>
      <c r="Z91" s="70">
        <f t="shared" si="117"/>
        <v>130.73239436619716</v>
      </c>
      <c r="AA91" s="70">
        <f t="shared" si="118"/>
        <v>122.94039735099339</v>
      </c>
      <c r="AB91" s="68"/>
      <c r="AC91" s="70">
        <f t="shared" si="125"/>
        <v>1.7040963855420159</v>
      </c>
      <c r="AD91" s="70">
        <f t="shared" si="119"/>
        <v>1.6600938967135335</v>
      </c>
      <c r="AE91" s="70">
        <f t="shared" si="120"/>
        <v>1.5611479028696067</v>
      </c>
    </row>
    <row r="92" spans="3:47" x14ac:dyDescent="0.25">
      <c r="C92" s="27" t="s">
        <v>56</v>
      </c>
      <c r="D92">
        <f t="shared" ref="D92:F92" si="152">D72/10</f>
        <v>4.05</v>
      </c>
      <c r="E92">
        <f t="shared" si="152"/>
        <v>3.5799999999999996</v>
      </c>
      <c r="F92">
        <f t="shared" si="152"/>
        <v>4.16</v>
      </c>
      <c r="K92" s="27" t="s">
        <v>56</v>
      </c>
      <c r="L92" s="47">
        <f t="shared" ref="L92:N92" si="153">(L72/1000)*10000</f>
        <v>92800</v>
      </c>
      <c r="M92" s="47">
        <f t="shared" si="153"/>
        <v>92800</v>
      </c>
      <c r="N92" s="47">
        <f t="shared" si="153"/>
        <v>92800</v>
      </c>
      <c r="Q92" s="48">
        <v>2581.3333333333335</v>
      </c>
      <c r="R92" s="48">
        <v>2037.8947368421052</v>
      </c>
      <c r="S92" s="48">
        <v>2225.2873563218391</v>
      </c>
      <c r="U92" s="69">
        <f t="shared" si="123"/>
        <v>2416.6442666666671</v>
      </c>
      <c r="V92" s="69">
        <f t="shared" si="115"/>
        <v>1907.8770526315791</v>
      </c>
      <c r="W92" s="69">
        <f t="shared" si="116"/>
        <v>2083.3140229885057</v>
      </c>
      <c r="X92" s="68"/>
      <c r="Y92" s="70">
        <f t="shared" si="124"/>
        <v>162.624</v>
      </c>
      <c r="Z92" s="70">
        <f t="shared" si="117"/>
        <v>128.38736842105263</v>
      </c>
      <c r="AA92" s="70">
        <f t="shared" si="118"/>
        <v>140.19310344827585</v>
      </c>
      <c r="AB92" s="68"/>
      <c r="AC92" s="70">
        <f t="shared" si="125"/>
        <v>2.0650666666665529</v>
      </c>
      <c r="AD92" s="70">
        <f t="shared" si="119"/>
        <v>1.6303157894735705</v>
      </c>
      <c r="AE92" s="70">
        <f t="shared" si="120"/>
        <v>1.7802298850574516</v>
      </c>
    </row>
    <row r="93" spans="3:47" x14ac:dyDescent="0.25">
      <c r="C93" s="27" t="s">
        <v>57</v>
      </c>
      <c r="D93">
        <f t="shared" ref="D93:F93" si="154">D73/10</f>
        <v>4.1500000000000004</v>
      </c>
      <c r="E93">
        <f t="shared" si="154"/>
        <v>4.26</v>
      </c>
      <c r="F93">
        <f t="shared" si="154"/>
        <v>4.5299999999999994</v>
      </c>
      <c r="K93" s="27" t="s">
        <v>57</v>
      </c>
      <c r="L93" s="47">
        <f t="shared" ref="L93:N93" si="155">(L73/1000)*10000</f>
        <v>88400</v>
      </c>
      <c r="M93" s="47">
        <f t="shared" si="155"/>
        <v>88400</v>
      </c>
      <c r="N93" s="47">
        <f t="shared" si="155"/>
        <v>88400</v>
      </c>
      <c r="Q93" s="48">
        <v>2079.6731358529109</v>
      </c>
      <c r="R93" s="48">
        <v>2056.5656565656564</v>
      </c>
      <c r="S93" s="48">
        <v>2287.6404494382023</v>
      </c>
      <c r="U93" s="69">
        <f t="shared" si="123"/>
        <v>1946.9899897854953</v>
      </c>
      <c r="V93" s="69">
        <f t="shared" si="115"/>
        <v>1925.3567676767675</v>
      </c>
      <c r="W93" s="69">
        <f t="shared" si="116"/>
        <v>2141.688988764045</v>
      </c>
      <c r="X93" s="68"/>
      <c r="Y93" s="70">
        <f t="shared" si="124"/>
        <v>131.01940755873338</v>
      </c>
      <c r="Z93" s="70">
        <f t="shared" si="117"/>
        <v>129.56363636363633</v>
      </c>
      <c r="AA93" s="70">
        <f t="shared" si="118"/>
        <v>144.12134831460673</v>
      </c>
      <c r="AB93" s="68"/>
      <c r="AC93" s="70">
        <f t="shared" si="125"/>
        <v>1.6637385086823997</v>
      </c>
      <c r="AD93" s="70">
        <f t="shared" si="119"/>
        <v>1.6452525252525447</v>
      </c>
      <c r="AE93" s="70">
        <f t="shared" si="120"/>
        <v>1.8301123595506397</v>
      </c>
    </row>
    <row r="94" spans="3:47" x14ac:dyDescent="0.25">
      <c r="C94" s="27" t="s">
        <v>58</v>
      </c>
      <c r="D94">
        <f t="shared" ref="D94:F94" si="156">D74/10</f>
        <v>3.56</v>
      </c>
      <c r="E94">
        <f t="shared" si="156"/>
        <v>3.8600000000000003</v>
      </c>
      <c r="F94">
        <f t="shared" si="156"/>
        <v>3.45</v>
      </c>
      <c r="K94" s="27" t="s">
        <v>58</v>
      </c>
      <c r="L94" s="47">
        <f t="shared" ref="L94:N94" si="157">(L74/1000)*10000</f>
        <v>83699.999999999985</v>
      </c>
      <c r="M94" s="47">
        <f t="shared" si="157"/>
        <v>83699.999999999985</v>
      </c>
      <c r="N94" s="47">
        <f t="shared" si="157"/>
        <v>83699.999999999985</v>
      </c>
      <c r="Q94" s="48">
        <v>1802.1052631578948</v>
      </c>
      <c r="R94" s="48">
        <v>1600</v>
      </c>
      <c r="S94" s="48">
        <v>1790.794979079498</v>
      </c>
      <c r="U94" s="69">
        <f t="shared" si="123"/>
        <v>1687.1309473684212</v>
      </c>
      <c r="V94" s="69">
        <f t="shared" si="115"/>
        <v>1497.92</v>
      </c>
      <c r="W94" s="69">
        <f t="shared" si="116"/>
        <v>1676.5422594142262</v>
      </c>
      <c r="X94" s="68"/>
      <c r="Y94" s="70">
        <f t="shared" si="124"/>
        <v>113.53263157894736</v>
      </c>
      <c r="Z94" s="70">
        <f t="shared" si="117"/>
        <v>100.8</v>
      </c>
      <c r="AA94" s="70">
        <f t="shared" si="118"/>
        <v>112.82008368200837</v>
      </c>
      <c r="AB94" s="68"/>
      <c r="AC94" s="70">
        <f t="shared" si="125"/>
        <v>1.4416842105263186</v>
      </c>
      <c r="AD94" s="70">
        <f t="shared" si="119"/>
        <v>1.2799999999999727</v>
      </c>
      <c r="AE94" s="70">
        <f t="shared" si="120"/>
        <v>1.4326359832634807</v>
      </c>
    </row>
    <row r="96" spans="3:47" x14ac:dyDescent="0.25">
      <c r="W96" s="66" t="s">
        <v>118</v>
      </c>
      <c r="AA96" s="35" t="s">
        <v>119</v>
      </c>
      <c r="AE96" s="35" t="s">
        <v>120</v>
      </c>
      <c r="AI96" s="35" t="s">
        <v>121</v>
      </c>
      <c r="AM96" s="49" t="s">
        <v>75</v>
      </c>
      <c r="AN96" s="49"/>
      <c r="AO96" s="49"/>
      <c r="AP96" s="49"/>
      <c r="AQ96" s="49" t="s">
        <v>76</v>
      </c>
      <c r="AR96" s="49"/>
      <c r="AS96" s="49"/>
      <c r="AT96" s="49"/>
      <c r="AU96" s="49" t="s">
        <v>77</v>
      </c>
    </row>
    <row r="97" spans="21:48" x14ac:dyDescent="0.25">
      <c r="U97" s="27" t="s">
        <v>22</v>
      </c>
      <c r="V97" s="47">
        <v>1561</v>
      </c>
      <c r="W97" s="47">
        <v>1560</v>
      </c>
      <c r="X97" s="47">
        <v>1650</v>
      </c>
      <c r="Z97" s="48">
        <f>Q77-V97</f>
        <v>3205.0377358490559</v>
      </c>
      <c r="AA97" s="48">
        <f t="shared" ref="AA97:AA114" si="158">R77-W97</f>
        <v>4233.577981651375</v>
      </c>
      <c r="AB97" s="48">
        <f t="shared" ref="AB97:AB114" si="159">S77-X97</f>
        <v>3710.7809847198641</v>
      </c>
      <c r="AD97" s="67">
        <f>Q77*4.1/100</f>
        <v>195.40754716981127</v>
      </c>
      <c r="AE97" s="67">
        <f t="shared" ref="AE97:AE106" si="160">R77*4.1/100</f>
        <v>237.53669724770637</v>
      </c>
      <c r="AF97" s="67">
        <f t="shared" ref="AF97:AF106" si="161">S77*4.1/100</f>
        <v>219.79202037351442</v>
      </c>
      <c r="AH97" s="48">
        <f>Z97-AD97</f>
        <v>3009.6301886792448</v>
      </c>
      <c r="AI97" s="48">
        <f t="shared" ref="AI97:AI114" si="162">AA97-AE97</f>
        <v>3996.0412844036687</v>
      </c>
      <c r="AJ97" s="48">
        <f t="shared" ref="AJ97:AJ114" si="163">AB97-AF97</f>
        <v>3490.9889643463498</v>
      </c>
      <c r="AL97" s="9">
        <f>(AH97*93.1)/100</f>
        <v>2801.9657056603769</v>
      </c>
      <c r="AM97" s="9">
        <f t="shared" ref="AM97:AM105" si="164">(AI97*93.1)/100</f>
        <v>3720.3144357798155</v>
      </c>
      <c r="AN97" s="9">
        <f t="shared" ref="AN97:AN105" si="165">(AJ97*93.1)/100</f>
        <v>3250.1107258064517</v>
      </c>
      <c r="AP97" s="8">
        <f>(AH97*6.8)/100</f>
        <v>204.65485283018864</v>
      </c>
      <c r="AQ97" s="8">
        <f t="shared" ref="AQ97:AQ105" si="166">(AI97*6.8)/100</f>
        <v>271.73080733944948</v>
      </c>
      <c r="AR97" s="8">
        <f t="shared" ref="AR97:AR105" si="167">(AJ97*6.8)/100</f>
        <v>237.38724957555181</v>
      </c>
      <c r="AT97" s="8">
        <f>(AH97-(AL97+AP97))</f>
        <v>3.0096301886792389</v>
      </c>
      <c r="AU97" s="8">
        <f t="shared" ref="AU97:AU114" si="168">(AI97-(AM97+AQ97))</f>
        <v>3.9960412844034181</v>
      </c>
      <c r="AV97" s="8">
        <f t="shared" ref="AV97:AV114" si="169">(AJ97-(AN97+AR97))</f>
        <v>3.490988964346343</v>
      </c>
    </row>
    <row r="98" spans="21:48" x14ac:dyDescent="0.25">
      <c r="U98" s="27" t="s">
        <v>24</v>
      </c>
      <c r="V98" s="47">
        <v>1200</v>
      </c>
      <c r="W98" s="47">
        <v>1210</v>
      </c>
      <c r="X98" s="47">
        <v>1190</v>
      </c>
      <c r="Z98" s="48">
        <f t="shared" ref="Z98:Z113" si="170">Q78-V98</f>
        <v>1800</v>
      </c>
      <c r="AA98" s="48">
        <f t="shared" si="158"/>
        <v>1843.9845758354759</v>
      </c>
      <c r="AB98" s="48">
        <f t="shared" si="159"/>
        <v>2038.2608695652175</v>
      </c>
      <c r="AD98" s="67">
        <f t="shared" ref="AD98:AD106" si="171">Q78*4.1/100</f>
        <v>122.99999999999999</v>
      </c>
      <c r="AE98" s="67">
        <f t="shared" si="160"/>
        <v>125.21336760925449</v>
      </c>
      <c r="AF98" s="67">
        <f t="shared" si="161"/>
        <v>132.35869565217391</v>
      </c>
      <c r="AH98" s="48">
        <f t="shared" ref="AH98:AH114" si="172">Z98-AD98</f>
        <v>1677</v>
      </c>
      <c r="AI98" s="48">
        <f t="shared" si="162"/>
        <v>1718.7712082262215</v>
      </c>
      <c r="AJ98" s="48">
        <f t="shared" si="163"/>
        <v>1905.9021739130435</v>
      </c>
      <c r="AL98" s="9">
        <f t="shared" ref="AL98:AL105" si="173">(AH98*93.1)/100</f>
        <v>1561.2869999999998</v>
      </c>
      <c r="AM98" s="9">
        <f t="shared" si="164"/>
        <v>1600.1759948586121</v>
      </c>
      <c r="AN98" s="9">
        <f t="shared" si="165"/>
        <v>1774.3949239130434</v>
      </c>
      <c r="AP98" s="8">
        <f t="shared" ref="AP98:AP105" si="174">(AH98*6.8)/100</f>
        <v>114.036</v>
      </c>
      <c r="AQ98" s="8">
        <f t="shared" si="166"/>
        <v>116.87644215938306</v>
      </c>
      <c r="AR98" s="8">
        <f t="shared" si="167"/>
        <v>129.60134782608694</v>
      </c>
      <c r="AT98" s="8">
        <f t="shared" ref="AT98:AT114" si="175">(AH98-(AL98+AP98))</f>
        <v>1.6770000000001346</v>
      </c>
      <c r="AU98" s="8">
        <f t="shared" si="168"/>
        <v>1.7187712082263715</v>
      </c>
      <c r="AV98" s="8">
        <f t="shared" si="169"/>
        <v>1.9059021739130912</v>
      </c>
    </row>
    <row r="99" spans="21:48" x14ac:dyDescent="0.25">
      <c r="U99" s="27" t="s">
        <v>31</v>
      </c>
      <c r="V99" s="47">
        <v>1101</v>
      </c>
      <c r="W99" s="47">
        <v>1110</v>
      </c>
      <c r="X99" s="47">
        <v>1070</v>
      </c>
      <c r="Z99" s="48">
        <f t="shared" si="170"/>
        <v>1962.700707785642</v>
      </c>
      <c r="AA99" s="48">
        <f t="shared" si="158"/>
        <v>1669.8165137614678</v>
      </c>
      <c r="AB99" s="48">
        <f t="shared" si="159"/>
        <v>1653.5955056179773</v>
      </c>
      <c r="AD99" s="67">
        <f t="shared" si="171"/>
        <v>125.61172901921131</v>
      </c>
      <c r="AE99" s="67">
        <f t="shared" si="160"/>
        <v>113.97247706422017</v>
      </c>
      <c r="AF99" s="67">
        <f t="shared" si="161"/>
        <v>111.66741573033705</v>
      </c>
      <c r="AH99" s="48">
        <f t="shared" si="172"/>
        <v>1837.0889787664307</v>
      </c>
      <c r="AI99" s="48">
        <f t="shared" si="162"/>
        <v>1555.8440366972477</v>
      </c>
      <c r="AJ99" s="48">
        <f t="shared" si="163"/>
        <v>1541.9280898876402</v>
      </c>
      <c r="AL99" s="9">
        <f t="shared" si="173"/>
        <v>1710.3298392315469</v>
      </c>
      <c r="AM99" s="9">
        <f t="shared" si="164"/>
        <v>1448.4907981651374</v>
      </c>
      <c r="AN99" s="9">
        <f t="shared" si="165"/>
        <v>1435.535051685393</v>
      </c>
      <c r="AP99" s="8">
        <f t="shared" si="174"/>
        <v>124.92205055611728</v>
      </c>
      <c r="AQ99" s="8">
        <f t="shared" si="166"/>
        <v>105.79739449541285</v>
      </c>
      <c r="AR99" s="8">
        <f t="shared" si="167"/>
        <v>104.85111011235954</v>
      </c>
      <c r="AT99" s="8">
        <f t="shared" si="175"/>
        <v>1.8370889787665874</v>
      </c>
      <c r="AU99" s="8">
        <f t="shared" si="168"/>
        <v>1.5558440366974082</v>
      </c>
      <c r="AV99" s="8">
        <f t="shared" si="169"/>
        <v>1.5419280898877332</v>
      </c>
    </row>
    <row r="100" spans="21:48" x14ac:dyDescent="0.25">
      <c r="U100" s="27" t="s">
        <v>34</v>
      </c>
      <c r="V100" s="47">
        <v>1084</v>
      </c>
      <c r="W100" s="47">
        <v>1070</v>
      </c>
      <c r="X100" s="47">
        <v>1070</v>
      </c>
      <c r="Z100" s="48">
        <f t="shared" si="170"/>
        <v>1775.29648241206</v>
      </c>
      <c r="AA100" s="48">
        <f t="shared" si="158"/>
        <v>1818.3248730964465</v>
      </c>
      <c r="AB100" s="48">
        <f t="shared" si="159"/>
        <v>1719.2156862745092</v>
      </c>
      <c r="AD100" s="67">
        <f t="shared" si="171"/>
        <v>117.23115577889445</v>
      </c>
      <c r="AE100" s="67">
        <f t="shared" si="160"/>
        <v>118.42131979695431</v>
      </c>
      <c r="AF100" s="67">
        <f t="shared" si="161"/>
        <v>114.35784313725486</v>
      </c>
      <c r="AH100" s="48">
        <f t="shared" si="172"/>
        <v>1658.0653266331656</v>
      </c>
      <c r="AI100" s="48">
        <f t="shared" si="162"/>
        <v>1699.9035532994922</v>
      </c>
      <c r="AJ100" s="48">
        <f t="shared" si="163"/>
        <v>1604.8578431372543</v>
      </c>
      <c r="AL100" s="9">
        <f t="shared" si="173"/>
        <v>1543.6588190954769</v>
      </c>
      <c r="AM100" s="9">
        <f t="shared" si="164"/>
        <v>1582.6102081218271</v>
      </c>
      <c r="AN100" s="9">
        <f t="shared" si="165"/>
        <v>1494.1226519607837</v>
      </c>
      <c r="AP100" s="8">
        <f t="shared" si="174"/>
        <v>112.74844221105526</v>
      </c>
      <c r="AQ100" s="8">
        <f t="shared" si="166"/>
        <v>115.59344162436545</v>
      </c>
      <c r="AR100" s="8">
        <f t="shared" si="167"/>
        <v>109.1303333333333</v>
      </c>
      <c r="AT100" s="8">
        <f t="shared" si="175"/>
        <v>1.6580653266332774</v>
      </c>
      <c r="AU100" s="8">
        <f t="shared" si="168"/>
        <v>1.6999035532996913</v>
      </c>
      <c r="AV100" s="8">
        <f t="shared" si="169"/>
        <v>1.6048578431373244</v>
      </c>
    </row>
    <row r="101" spans="21:48" x14ac:dyDescent="0.25">
      <c r="U101" s="27" t="s">
        <v>38</v>
      </c>
      <c r="V101" s="47">
        <v>1002</v>
      </c>
      <c r="W101" s="47">
        <v>1001</v>
      </c>
      <c r="X101" s="47">
        <v>1020</v>
      </c>
      <c r="Z101" s="48">
        <f t="shared" si="170"/>
        <v>1722.0506329113923</v>
      </c>
      <c r="AA101" s="48">
        <f t="shared" si="158"/>
        <v>1922.913043478261</v>
      </c>
      <c r="AB101" s="48">
        <f t="shared" si="159"/>
        <v>2098.840579710145</v>
      </c>
      <c r="AD101" s="67">
        <f t="shared" si="171"/>
        <v>111.68607594936708</v>
      </c>
      <c r="AE101" s="67">
        <f t="shared" si="160"/>
        <v>119.88043478260869</v>
      </c>
      <c r="AF101" s="67">
        <f t="shared" si="161"/>
        <v>127.87246376811594</v>
      </c>
      <c r="AH101" s="48">
        <f t="shared" si="172"/>
        <v>1610.3645569620253</v>
      </c>
      <c r="AI101" s="48">
        <f t="shared" si="162"/>
        <v>1803.0326086956522</v>
      </c>
      <c r="AJ101" s="48">
        <f t="shared" si="163"/>
        <v>1970.968115942029</v>
      </c>
      <c r="AL101" s="9">
        <f t="shared" si="173"/>
        <v>1499.2494025316453</v>
      </c>
      <c r="AM101" s="9">
        <f t="shared" si="164"/>
        <v>1678.6233586956523</v>
      </c>
      <c r="AN101" s="9">
        <f t="shared" si="165"/>
        <v>1834.9713159420289</v>
      </c>
      <c r="AP101" s="8">
        <f t="shared" si="174"/>
        <v>109.50478987341772</v>
      </c>
      <c r="AQ101" s="8">
        <f t="shared" si="166"/>
        <v>122.60621739130434</v>
      </c>
      <c r="AR101" s="8">
        <f t="shared" si="167"/>
        <v>134.02583188405796</v>
      </c>
      <c r="AT101" s="8">
        <f t="shared" si="175"/>
        <v>1.610364556962395</v>
      </c>
      <c r="AU101" s="8">
        <f t="shared" si="168"/>
        <v>1.8030326086955029</v>
      </c>
      <c r="AV101" s="8">
        <f t="shared" si="169"/>
        <v>1.9709681159422416</v>
      </c>
    </row>
    <row r="102" spans="21:48" x14ac:dyDescent="0.25">
      <c r="U102" s="27" t="s">
        <v>40</v>
      </c>
      <c r="V102" s="47">
        <v>941</v>
      </c>
      <c r="W102" s="47">
        <v>941</v>
      </c>
      <c r="X102" s="47">
        <v>945</v>
      </c>
      <c r="Z102" s="48">
        <f t="shared" si="170"/>
        <v>1565.7264573991038</v>
      </c>
      <c r="AA102" s="48">
        <f t="shared" si="158"/>
        <v>1611.5114155251144</v>
      </c>
      <c r="AB102" s="48">
        <f t="shared" si="159"/>
        <v>1667.1495327102812</v>
      </c>
      <c r="AD102" s="67">
        <f t="shared" si="171"/>
        <v>102.77578475336324</v>
      </c>
      <c r="AE102" s="67">
        <f t="shared" si="160"/>
        <v>104.65296803652969</v>
      </c>
      <c r="AF102" s="67">
        <f t="shared" si="161"/>
        <v>107.09813084112152</v>
      </c>
      <c r="AH102" s="48">
        <f t="shared" si="172"/>
        <v>1462.9506726457405</v>
      </c>
      <c r="AI102" s="48">
        <f t="shared" si="162"/>
        <v>1506.8584474885847</v>
      </c>
      <c r="AJ102" s="48">
        <f t="shared" si="163"/>
        <v>1560.0514018691597</v>
      </c>
      <c r="AL102" s="9">
        <f t="shared" si="173"/>
        <v>1362.0070762331843</v>
      </c>
      <c r="AM102" s="9">
        <f t="shared" si="164"/>
        <v>1402.8852146118722</v>
      </c>
      <c r="AN102" s="9">
        <f t="shared" si="165"/>
        <v>1452.4078551401876</v>
      </c>
      <c r="AP102" s="8">
        <f t="shared" si="174"/>
        <v>99.480645739910358</v>
      </c>
      <c r="AQ102" s="8">
        <f t="shared" si="166"/>
        <v>102.46637442922376</v>
      </c>
      <c r="AR102" s="8">
        <f t="shared" si="167"/>
        <v>106.08349532710287</v>
      </c>
      <c r="AT102" s="8">
        <f t="shared" si="175"/>
        <v>1.4629506726457748</v>
      </c>
      <c r="AU102" s="8">
        <f t="shared" si="168"/>
        <v>1.5068584474886393</v>
      </c>
      <c r="AV102" s="8">
        <f t="shared" si="169"/>
        <v>1.5600514018692593</v>
      </c>
    </row>
    <row r="103" spans="21:48" x14ac:dyDescent="0.25">
      <c r="U103" s="27" t="s">
        <v>42</v>
      </c>
      <c r="V103" s="47">
        <v>1140</v>
      </c>
      <c r="W103" s="47">
        <v>946</v>
      </c>
      <c r="X103" s="47">
        <v>960</v>
      </c>
      <c r="Z103" s="48">
        <f t="shared" si="170"/>
        <v>1371.827956989247</v>
      </c>
      <c r="AA103" s="48">
        <f t="shared" si="158"/>
        <v>1442.5480572597139</v>
      </c>
      <c r="AB103" s="48">
        <f t="shared" si="159"/>
        <v>1601.4035087719294</v>
      </c>
      <c r="AD103" s="67">
        <f t="shared" si="171"/>
        <v>102.98494623655911</v>
      </c>
      <c r="AE103" s="67">
        <f t="shared" si="160"/>
        <v>97.930470347648267</v>
      </c>
      <c r="AF103" s="67">
        <f t="shared" si="161"/>
        <v>105.01754385964911</v>
      </c>
      <c r="AH103" s="48">
        <f t="shared" si="172"/>
        <v>1268.8430107526879</v>
      </c>
      <c r="AI103" s="48">
        <f t="shared" si="162"/>
        <v>1344.6175869120657</v>
      </c>
      <c r="AJ103" s="48">
        <f t="shared" si="163"/>
        <v>1496.3859649122803</v>
      </c>
      <c r="AL103" s="9">
        <f t="shared" si="173"/>
        <v>1181.2928430107522</v>
      </c>
      <c r="AM103" s="9">
        <f t="shared" si="164"/>
        <v>1251.8389734151331</v>
      </c>
      <c r="AN103" s="9">
        <f t="shared" si="165"/>
        <v>1393.1353333333329</v>
      </c>
      <c r="AP103" s="8">
        <f t="shared" si="174"/>
        <v>86.281324731182778</v>
      </c>
      <c r="AQ103" s="8">
        <f t="shared" si="166"/>
        <v>91.433995910020457</v>
      </c>
      <c r="AR103" s="8">
        <f t="shared" si="167"/>
        <v>101.75424561403506</v>
      </c>
      <c r="AT103" s="8">
        <f t="shared" si="175"/>
        <v>1.2688430107527893</v>
      </c>
      <c r="AU103" s="8">
        <f t="shared" si="168"/>
        <v>1.3446175869121362</v>
      </c>
      <c r="AV103" s="8">
        <f t="shared" si="169"/>
        <v>1.4963859649124061</v>
      </c>
    </row>
    <row r="104" spans="21:48" x14ac:dyDescent="0.25">
      <c r="U104" s="27" t="s">
        <v>44</v>
      </c>
      <c r="V104" s="47">
        <v>960</v>
      </c>
      <c r="W104" s="47">
        <v>968</v>
      </c>
      <c r="X104" s="47">
        <v>974</v>
      </c>
      <c r="Z104" s="48">
        <f>Q84-V104</f>
        <v>1474.3434343434342</v>
      </c>
      <c r="AA104" s="48">
        <f t="shared" si="158"/>
        <v>1511.4238683127569</v>
      </c>
      <c r="AB104" s="48">
        <f t="shared" si="159"/>
        <v>1617.3978494623652</v>
      </c>
      <c r="AD104" s="67">
        <f t="shared" si="171"/>
        <v>99.808080808080788</v>
      </c>
      <c r="AE104" s="67">
        <f t="shared" si="160"/>
        <v>101.65637860082303</v>
      </c>
      <c r="AF104" s="67">
        <f t="shared" si="161"/>
        <v>106.24731182795696</v>
      </c>
      <c r="AH104" s="48">
        <f t="shared" si="172"/>
        <v>1374.5353535353534</v>
      </c>
      <c r="AI104" s="48">
        <f t="shared" si="162"/>
        <v>1409.7674897119339</v>
      </c>
      <c r="AJ104" s="48">
        <f t="shared" si="163"/>
        <v>1511.1505376344082</v>
      </c>
      <c r="AL104" s="9">
        <f t="shared" si="173"/>
        <v>1279.6924141414138</v>
      </c>
      <c r="AM104" s="9">
        <f t="shared" si="164"/>
        <v>1312.4935329218104</v>
      </c>
      <c r="AN104" s="9">
        <f t="shared" si="165"/>
        <v>1406.8811505376341</v>
      </c>
      <c r="AP104" s="8">
        <f t="shared" si="174"/>
        <v>93.468404040404025</v>
      </c>
      <c r="AQ104" s="8">
        <f t="shared" si="166"/>
        <v>95.86418930041151</v>
      </c>
      <c r="AR104" s="8">
        <f t="shared" si="167"/>
        <v>102.75823655913975</v>
      </c>
      <c r="AT104" s="8">
        <f t="shared" si="175"/>
        <v>1.3745353535355207</v>
      </c>
      <c r="AU104" s="8">
        <f t="shared" si="168"/>
        <v>1.4097674897120669</v>
      </c>
      <c r="AV104" s="8">
        <f t="shared" si="169"/>
        <v>1.5111505376344212</v>
      </c>
    </row>
    <row r="105" spans="21:48" x14ac:dyDescent="0.25">
      <c r="U105" s="27" t="s">
        <v>46</v>
      </c>
      <c r="V105" s="47">
        <v>836</v>
      </c>
      <c r="W105" s="47">
        <v>776</v>
      </c>
      <c r="X105" s="47">
        <v>814</v>
      </c>
      <c r="Z105" s="48">
        <f t="shared" si="170"/>
        <v>1224.8365019011408</v>
      </c>
      <c r="AA105" s="48">
        <f t="shared" si="158"/>
        <v>1357.8582677165355</v>
      </c>
      <c r="AB105" s="48">
        <f t="shared" si="159"/>
        <v>1402.7689161554194</v>
      </c>
      <c r="AD105" s="67">
        <f t="shared" si="171"/>
        <v>84.49429657794677</v>
      </c>
      <c r="AE105" s="67">
        <f t="shared" si="160"/>
        <v>87.488188976377955</v>
      </c>
      <c r="AF105" s="67">
        <f t="shared" si="161"/>
        <v>90.88752556237219</v>
      </c>
      <c r="AH105" s="48">
        <f t="shared" si="172"/>
        <v>1140.3422053231941</v>
      </c>
      <c r="AI105" s="48">
        <f t="shared" si="162"/>
        <v>1270.3700787401576</v>
      </c>
      <c r="AJ105" s="48">
        <f t="shared" si="163"/>
        <v>1311.8813905930472</v>
      </c>
      <c r="AL105" s="9">
        <f t="shared" si="173"/>
        <v>1061.6585931558936</v>
      </c>
      <c r="AM105" s="9">
        <f t="shared" si="164"/>
        <v>1182.7145433070866</v>
      </c>
      <c r="AN105" s="9">
        <f t="shared" si="165"/>
        <v>1221.3615746421267</v>
      </c>
      <c r="AP105" s="8">
        <f t="shared" si="174"/>
        <v>77.543269961977188</v>
      </c>
      <c r="AQ105" s="8">
        <f t="shared" si="166"/>
        <v>86.385165354330709</v>
      </c>
      <c r="AR105" s="8">
        <f t="shared" si="167"/>
        <v>89.207934560327217</v>
      </c>
      <c r="AT105" s="8">
        <f t="shared" si="175"/>
        <v>1.1403422053233498</v>
      </c>
      <c r="AU105" s="8">
        <f t="shared" si="168"/>
        <v>1.2703700787403704</v>
      </c>
      <c r="AV105" s="8">
        <f t="shared" si="169"/>
        <v>1.3118813905932711</v>
      </c>
    </row>
    <row r="106" spans="21:48" x14ac:dyDescent="0.25">
      <c r="U106" s="27" t="s">
        <v>48</v>
      </c>
      <c r="V106" s="47">
        <v>1340</v>
      </c>
      <c r="W106" s="47">
        <v>1353</v>
      </c>
      <c r="X106" s="47">
        <v>1358</v>
      </c>
      <c r="Z106" s="48">
        <f t="shared" si="170"/>
        <v>4132.6368159203976</v>
      </c>
      <c r="AA106" s="48">
        <f t="shared" si="158"/>
        <v>3514.2566371681414</v>
      </c>
      <c r="AB106" s="48">
        <f t="shared" si="159"/>
        <v>2792.9433962264156</v>
      </c>
      <c r="AD106" s="67">
        <f t="shared" si="171"/>
        <v>224.37810945273628</v>
      </c>
      <c r="AE106" s="67">
        <f t="shared" si="160"/>
        <v>199.55752212389379</v>
      </c>
      <c r="AF106" s="67">
        <f t="shared" si="161"/>
        <v>170.18867924528303</v>
      </c>
      <c r="AH106" s="48">
        <f t="shared" si="172"/>
        <v>3908.2587064676613</v>
      </c>
      <c r="AI106" s="48">
        <f t="shared" si="162"/>
        <v>3314.6991150442477</v>
      </c>
      <c r="AJ106" s="48">
        <f t="shared" si="163"/>
        <v>2622.7547169811328</v>
      </c>
      <c r="AL106" s="9">
        <f>(AH106*92.1)/100</f>
        <v>3599.5062686567162</v>
      </c>
      <c r="AM106" s="9">
        <f t="shared" ref="AM106:AM114" si="176">(AI106*92.1)/100</f>
        <v>3052.8378849557521</v>
      </c>
      <c r="AN106" s="9">
        <f t="shared" ref="AN106:AN114" si="177">(AJ106*92.1)/100</f>
        <v>2415.5570943396233</v>
      </c>
      <c r="AP106" s="8">
        <f>(AH106*7.8)/100</f>
        <v>304.84417910447758</v>
      </c>
      <c r="AQ106" s="8">
        <f t="shared" ref="AQ106:AQ114" si="178">(AI106*7.8)/100</f>
        <v>258.5465309734513</v>
      </c>
      <c r="AR106" s="8">
        <f t="shared" ref="AR106:AR114" si="179">(AJ106*7.8)/100</f>
        <v>204.57486792452835</v>
      </c>
      <c r="AT106" s="8">
        <f t="shared" si="175"/>
        <v>3.9082587064676773</v>
      </c>
      <c r="AU106" s="8">
        <f t="shared" si="168"/>
        <v>3.3146991150442773</v>
      </c>
      <c r="AV106" s="8">
        <f t="shared" si="169"/>
        <v>2.622754716981035</v>
      </c>
    </row>
    <row r="107" spans="21:48" x14ac:dyDescent="0.25">
      <c r="U107" s="27" t="s">
        <v>49</v>
      </c>
      <c r="V107" s="47">
        <v>1274</v>
      </c>
      <c r="W107" s="47">
        <v>1260</v>
      </c>
      <c r="X107" s="47">
        <v>1359</v>
      </c>
      <c r="Z107" s="48">
        <f t="shared" si="170"/>
        <v>1327.5625</v>
      </c>
      <c r="AA107" s="48">
        <f t="shared" si="158"/>
        <v>1382.8571428571431</v>
      </c>
      <c r="AB107" s="48">
        <f t="shared" si="159"/>
        <v>1463.0338983050847</v>
      </c>
      <c r="AD107" s="67">
        <f>Q87*3.2/100</f>
        <v>83.25</v>
      </c>
      <c r="AE107" s="67">
        <f t="shared" ref="AE107:AE114" si="180">R87*3.2/100</f>
        <v>84.571428571428584</v>
      </c>
      <c r="AF107" s="67">
        <f t="shared" ref="AF107:AF114" si="181">S87*3.2/100</f>
        <v>90.305084745762713</v>
      </c>
      <c r="AH107" s="48">
        <f t="shared" si="172"/>
        <v>1244.3125</v>
      </c>
      <c r="AI107" s="48">
        <f t="shared" si="162"/>
        <v>1298.2857142857144</v>
      </c>
      <c r="AJ107" s="48">
        <f t="shared" si="163"/>
        <v>1372.7288135593219</v>
      </c>
      <c r="AL107" s="9">
        <f t="shared" ref="AL107:AL114" si="182">(AH107*92.1)/100</f>
        <v>1146.0118124999999</v>
      </c>
      <c r="AM107" s="9">
        <f t="shared" si="176"/>
        <v>1195.7211428571429</v>
      </c>
      <c r="AN107" s="9">
        <f t="shared" si="177"/>
        <v>1264.2832372881355</v>
      </c>
      <c r="AP107" s="8">
        <f t="shared" ref="AP107:AP114" si="183">(AH107*7.8)/100</f>
        <v>97.056374999999989</v>
      </c>
      <c r="AQ107" s="8">
        <f t="shared" si="178"/>
        <v>101.26628571428573</v>
      </c>
      <c r="AR107" s="8">
        <f t="shared" si="179"/>
        <v>107.07284745762711</v>
      </c>
      <c r="AT107" s="8">
        <f t="shared" si="175"/>
        <v>1.2443125000002055</v>
      </c>
      <c r="AU107" s="8">
        <f t="shared" si="168"/>
        <v>1.2982857142858393</v>
      </c>
      <c r="AV107" s="8">
        <f t="shared" si="169"/>
        <v>1.3727288135592062</v>
      </c>
    </row>
    <row r="108" spans="21:48" x14ac:dyDescent="0.25">
      <c r="U108" s="27" t="s">
        <v>50</v>
      </c>
      <c r="V108" s="47">
        <v>1160</v>
      </c>
      <c r="W108" s="47">
        <v>1260</v>
      </c>
      <c r="X108" s="47">
        <v>1170</v>
      </c>
      <c r="Z108" s="48">
        <f t="shared" si="170"/>
        <v>1515.8793969849248</v>
      </c>
      <c r="AA108" s="48">
        <f t="shared" si="158"/>
        <v>1774.1880341880342</v>
      </c>
      <c r="AB108" s="48">
        <f t="shared" si="159"/>
        <v>1526.2025316455697</v>
      </c>
      <c r="AD108" s="67">
        <f t="shared" ref="AD108:AD114" si="184">Q88*3.2/100</f>
        <v>85.628140703517602</v>
      </c>
      <c r="AE108" s="67">
        <f t="shared" si="180"/>
        <v>97.09401709401709</v>
      </c>
      <c r="AF108" s="67">
        <f t="shared" si="181"/>
        <v>86.278481012658233</v>
      </c>
      <c r="AH108" s="48">
        <f t="shared" si="172"/>
        <v>1430.2512562814072</v>
      </c>
      <c r="AI108" s="48">
        <f t="shared" si="162"/>
        <v>1677.0940170940171</v>
      </c>
      <c r="AJ108" s="48">
        <f t="shared" si="163"/>
        <v>1439.9240506329115</v>
      </c>
      <c r="AL108" s="9">
        <f t="shared" si="182"/>
        <v>1317.261407035176</v>
      </c>
      <c r="AM108" s="9">
        <f t="shared" si="176"/>
        <v>1544.6035897435897</v>
      </c>
      <c r="AN108" s="9">
        <f t="shared" si="177"/>
        <v>1326.1700506329114</v>
      </c>
      <c r="AP108" s="8">
        <f t="shared" si="183"/>
        <v>111.55959798994976</v>
      </c>
      <c r="AQ108" s="8">
        <f t="shared" si="178"/>
        <v>130.81333333333333</v>
      </c>
      <c r="AR108" s="8">
        <f t="shared" si="179"/>
        <v>112.31407594936709</v>
      </c>
      <c r="AT108" s="8">
        <f t="shared" si="175"/>
        <v>1.4302512562815082</v>
      </c>
      <c r="AU108" s="8">
        <f t="shared" si="168"/>
        <v>1.6770940170940776</v>
      </c>
      <c r="AV108" s="8">
        <f t="shared" si="169"/>
        <v>1.4399240506329534</v>
      </c>
    </row>
    <row r="109" spans="21:48" x14ac:dyDescent="0.25">
      <c r="U109" s="27" t="s">
        <v>52</v>
      </c>
      <c r="V109" s="47">
        <v>1160</v>
      </c>
      <c r="W109" s="47">
        <v>1170</v>
      </c>
      <c r="X109" s="47">
        <v>1160</v>
      </c>
      <c r="Z109" s="48">
        <f t="shared" si="170"/>
        <v>1131.358024691358</v>
      </c>
      <c r="AA109" s="48">
        <f t="shared" si="158"/>
        <v>1422.1787709497207</v>
      </c>
      <c r="AB109" s="48">
        <f t="shared" si="159"/>
        <v>1070.7692307692305</v>
      </c>
      <c r="AD109" s="67">
        <f t="shared" si="184"/>
        <v>73.323456790123458</v>
      </c>
      <c r="AE109" s="67">
        <f t="shared" si="180"/>
        <v>82.949720670391073</v>
      </c>
      <c r="AF109" s="67">
        <f t="shared" si="181"/>
        <v>71.384615384615387</v>
      </c>
      <c r="AH109" s="48">
        <f t="shared" si="172"/>
        <v>1058.0345679012346</v>
      </c>
      <c r="AI109" s="48">
        <f t="shared" si="162"/>
        <v>1339.2290502793296</v>
      </c>
      <c r="AJ109" s="48">
        <f t="shared" si="163"/>
        <v>999.38461538461513</v>
      </c>
      <c r="AL109" s="9">
        <f t="shared" si="182"/>
        <v>974.44983703703701</v>
      </c>
      <c r="AM109" s="9">
        <f t="shared" si="176"/>
        <v>1233.4299553072624</v>
      </c>
      <c r="AN109" s="9">
        <f t="shared" si="177"/>
        <v>920.43323076923048</v>
      </c>
      <c r="AP109" s="8">
        <f t="shared" si="183"/>
        <v>82.526696296296308</v>
      </c>
      <c r="AQ109" s="8">
        <f t="shared" si="178"/>
        <v>104.45986592178771</v>
      </c>
      <c r="AR109" s="8">
        <f t="shared" si="179"/>
        <v>77.951999999999984</v>
      </c>
      <c r="AT109" s="8">
        <f t="shared" si="175"/>
        <v>1.058034567901359</v>
      </c>
      <c r="AU109" s="8">
        <f t="shared" si="168"/>
        <v>1.3392290502795277</v>
      </c>
      <c r="AV109" s="8">
        <f t="shared" si="169"/>
        <v>0.99938461538465617</v>
      </c>
    </row>
    <row r="110" spans="21:48" x14ac:dyDescent="0.25">
      <c r="U110" s="27" t="s">
        <v>53</v>
      </c>
      <c r="V110" s="47">
        <v>1206</v>
      </c>
      <c r="W110" s="47">
        <v>1242</v>
      </c>
      <c r="X110" s="47">
        <v>1260</v>
      </c>
      <c r="Z110" s="48">
        <f t="shared" si="170"/>
        <v>1145.1235955056181</v>
      </c>
      <c r="AA110" s="48">
        <f t="shared" si="158"/>
        <v>926.39378238341942</v>
      </c>
      <c r="AB110" s="48">
        <f t="shared" si="159"/>
        <v>1166.086956521739</v>
      </c>
      <c r="AD110" s="67">
        <f t="shared" si="184"/>
        <v>75.235955056179776</v>
      </c>
      <c r="AE110" s="67">
        <f t="shared" si="180"/>
        <v>69.388601036269435</v>
      </c>
      <c r="AF110" s="67">
        <f t="shared" si="181"/>
        <v>77.634782608695645</v>
      </c>
      <c r="AH110" s="48">
        <f t="shared" si="172"/>
        <v>1069.8876404494383</v>
      </c>
      <c r="AI110" s="48">
        <f t="shared" si="162"/>
        <v>857.00518134715003</v>
      </c>
      <c r="AJ110" s="48">
        <f t="shared" si="163"/>
        <v>1088.4521739130435</v>
      </c>
      <c r="AL110" s="9">
        <f t="shared" si="182"/>
        <v>985.36651685393269</v>
      </c>
      <c r="AM110" s="9">
        <f t="shared" si="176"/>
        <v>789.30177202072514</v>
      </c>
      <c r="AN110" s="9">
        <f t="shared" si="177"/>
        <v>1002.4644521739131</v>
      </c>
      <c r="AP110" s="8">
        <f t="shared" si="183"/>
        <v>83.451235955056177</v>
      </c>
      <c r="AQ110" s="8">
        <f t="shared" si="178"/>
        <v>66.846404145077699</v>
      </c>
      <c r="AR110" s="8">
        <f t="shared" si="179"/>
        <v>84.899269565217381</v>
      </c>
      <c r="AT110" s="8">
        <f t="shared" si="175"/>
        <v>1.0698876404494513</v>
      </c>
      <c r="AU110" s="8">
        <f t="shared" si="168"/>
        <v>0.8570051813471764</v>
      </c>
      <c r="AV110" s="8">
        <f t="shared" si="169"/>
        <v>1.0884521739130832</v>
      </c>
    </row>
    <row r="111" spans="21:48" x14ac:dyDescent="0.25">
      <c r="U111" s="27" t="s">
        <v>55</v>
      </c>
      <c r="V111" s="47">
        <v>1074</v>
      </c>
      <c r="W111" s="47">
        <v>1080</v>
      </c>
      <c r="X111" s="47">
        <v>1075</v>
      </c>
      <c r="Z111" s="48">
        <f t="shared" si="170"/>
        <v>1056.1204819277104</v>
      </c>
      <c r="AA111" s="48">
        <f t="shared" si="158"/>
        <v>995.1173708920187</v>
      </c>
      <c r="AB111" s="48">
        <f t="shared" si="159"/>
        <v>876.43487858719664</v>
      </c>
      <c r="AD111" s="67">
        <f t="shared" si="184"/>
        <v>68.163855421686733</v>
      </c>
      <c r="AE111" s="67">
        <f t="shared" si="180"/>
        <v>66.403755868544607</v>
      </c>
      <c r="AF111" s="67">
        <f t="shared" si="181"/>
        <v>62.4459161147903</v>
      </c>
      <c r="AH111" s="48">
        <f t="shared" si="172"/>
        <v>987.95662650602367</v>
      </c>
      <c r="AI111" s="48">
        <f t="shared" si="162"/>
        <v>928.71361502347406</v>
      </c>
      <c r="AJ111" s="48">
        <f t="shared" si="163"/>
        <v>813.98896247240634</v>
      </c>
      <c r="AL111" s="9">
        <f t="shared" si="182"/>
        <v>909.90805301204773</v>
      </c>
      <c r="AM111" s="9">
        <f t="shared" si="176"/>
        <v>855.34523943661964</v>
      </c>
      <c r="AN111" s="9">
        <f t="shared" si="177"/>
        <v>749.68383443708615</v>
      </c>
      <c r="AP111" s="8">
        <f t="shared" si="183"/>
        <v>77.060616867469847</v>
      </c>
      <c r="AQ111" s="8">
        <f t="shared" si="178"/>
        <v>72.439661971830972</v>
      </c>
      <c r="AR111" s="8">
        <f t="shared" si="179"/>
        <v>63.491139072847687</v>
      </c>
      <c r="AT111" s="8">
        <f t="shared" si="175"/>
        <v>0.98795662650604754</v>
      </c>
      <c r="AU111" s="8">
        <f t="shared" si="168"/>
        <v>0.92871361502341188</v>
      </c>
      <c r="AV111" s="8">
        <f t="shared" si="169"/>
        <v>0.8139889624725356</v>
      </c>
    </row>
    <row r="112" spans="21:48" x14ac:dyDescent="0.25">
      <c r="U112" s="27" t="s">
        <v>56</v>
      </c>
      <c r="V112" s="47">
        <v>1104</v>
      </c>
      <c r="W112" s="47">
        <v>1040</v>
      </c>
      <c r="X112" s="47">
        <v>1065</v>
      </c>
      <c r="Z112" s="48">
        <f t="shared" si="170"/>
        <v>1477.3333333333335</v>
      </c>
      <c r="AA112" s="48">
        <f t="shared" si="158"/>
        <v>997.8947368421052</v>
      </c>
      <c r="AB112" s="48">
        <f t="shared" si="159"/>
        <v>1160.2873563218391</v>
      </c>
      <c r="AD112" s="67">
        <f t="shared" si="184"/>
        <v>82.602666666666678</v>
      </c>
      <c r="AE112" s="67">
        <f t="shared" si="180"/>
        <v>65.212631578947367</v>
      </c>
      <c r="AF112" s="67">
        <f t="shared" si="181"/>
        <v>71.20919540229886</v>
      </c>
      <c r="AH112" s="48">
        <f t="shared" si="172"/>
        <v>1394.7306666666668</v>
      </c>
      <c r="AI112" s="48">
        <f t="shared" si="162"/>
        <v>932.68210526315784</v>
      </c>
      <c r="AJ112" s="48">
        <f t="shared" si="163"/>
        <v>1089.0781609195401</v>
      </c>
      <c r="AL112" s="9">
        <f t="shared" si="182"/>
        <v>1284.5469440000002</v>
      </c>
      <c r="AM112" s="9">
        <f t="shared" si="176"/>
        <v>859.00021894736824</v>
      </c>
      <c r="AN112" s="9">
        <f t="shared" si="177"/>
        <v>1003.0409862068964</v>
      </c>
      <c r="AP112" s="8">
        <f t="shared" si="183"/>
        <v>108.78899200000002</v>
      </c>
      <c r="AQ112" s="8">
        <f t="shared" si="178"/>
        <v>72.749204210526315</v>
      </c>
      <c r="AR112" s="8">
        <f t="shared" si="179"/>
        <v>84.94809655172412</v>
      </c>
      <c r="AT112" s="8">
        <f t="shared" si="175"/>
        <v>1.3947306666666464</v>
      </c>
      <c r="AU112" s="8">
        <f t="shared" si="168"/>
        <v>0.93268210526332496</v>
      </c>
      <c r="AV112" s="8">
        <f t="shared" si="169"/>
        <v>1.0890781609195983</v>
      </c>
    </row>
    <row r="113" spans="8:48" x14ac:dyDescent="0.25">
      <c r="U113" s="27" t="s">
        <v>57</v>
      </c>
      <c r="V113" s="47">
        <v>1052</v>
      </c>
      <c r="W113" s="47">
        <v>1074</v>
      </c>
      <c r="X113" s="47">
        <v>1096</v>
      </c>
      <c r="Z113" s="48">
        <f t="shared" si="170"/>
        <v>1027.6731358529109</v>
      </c>
      <c r="AA113" s="48">
        <f t="shared" si="158"/>
        <v>982.56565656565635</v>
      </c>
      <c r="AB113" s="48">
        <f t="shared" si="159"/>
        <v>1191.6404494382023</v>
      </c>
      <c r="AD113" s="67">
        <f t="shared" si="184"/>
        <v>66.549540347293146</v>
      </c>
      <c r="AE113" s="67">
        <f t="shared" si="180"/>
        <v>65.810101010101008</v>
      </c>
      <c r="AF113" s="67">
        <f t="shared" si="181"/>
        <v>73.204494382022474</v>
      </c>
      <c r="AH113" s="48">
        <f t="shared" si="172"/>
        <v>961.1235955056178</v>
      </c>
      <c r="AI113" s="48">
        <f t="shared" si="162"/>
        <v>916.75555555555536</v>
      </c>
      <c r="AJ113" s="48">
        <f t="shared" si="163"/>
        <v>1118.4359550561799</v>
      </c>
      <c r="AL113" s="9">
        <f t="shared" si="182"/>
        <v>885.19483146067387</v>
      </c>
      <c r="AM113" s="9">
        <f t="shared" si="176"/>
        <v>844.33186666666643</v>
      </c>
      <c r="AN113" s="9">
        <f t="shared" si="177"/>
        <v>1030.0795146067417</v>
      </c>
      <c r="AP113" s="8">
        <f t="shared" si="183"/>
        <v>74.967640449438193</v>
      </c>
      <c r="AQ113" s="8">
        <f t="shared" si="178"/>
        <v>71.506933333333322</v>
      </c>
      <c r="AR113" s="8">
        <f t="shared" si="179"/>
        <v>87.238004494382025</v>
      </c>
      <c r="AT113" s="8">
        <f t="shared" si="175"/>
        <v>0.96112359550568272</v>
      </c>
      <c r="AU113" s="8">
        <f t="shared" si="168"/>
        <v>0.9167555555555964</v>
      </c>
      <c r="AV113" s="8">
        <f t="shared" si="169"/>
        <v>1.1184359550561567</v>
      </c>
    </row>
    <row r="114" spans="8:48" x14ac:dyDescent="0.25">
      <c r="U114" s="27" t="s">
        <v>58</v>
      </c>
      <c r="V114" s="47">
        <v>937</v>
      </c>
      <c r="W114" s="47">
        <v>909</v>
      </c>
      <c r="X114" s="47">
        <v>901</v>
      </c>
      <c r="Z114" s="48">
        <f>Q94-V114</f>
        <v>865.1052631578948</v>
      </c>
      <c r="AA114" s="48">
        <f t="shared" si="158"/>
        <v>691</v>
      </c>
      <c r="AB114" s="48">
        <f t="shared" si="159"/>
        <v>889.79497907949803</v>
      </c>
      <c r="AD114" s="67">
        <f t="shared" si="184"/>
        <v>57.667368421052636</v>
      </c>
      <c r="AE114" s="67">
        <f t="shared" si="180"/>
        <v>51.2</v>
      </c>
      <c r="AF114" s="67">
        <f t="shared" si="181"/>
        <v>57.30543933054394</v>
      </c>
      <c r="AH114" s="48">
        <f t="shared" si="172"/>
        <v>807.43789473684217</v>
      </c>
      <c r="AI114" s="48">
        <f t="shared" si="162"/>
        <v>639.79999999999995</v>
      </c>
      <c r="AJ114" s="48">
        <f t="shared" si="163"/>
        <v>832.48953974895414</v>
      </c>
      <c r="AL114" s="9">
        <f t="shared" si="182"/>
        <v>743.65030105263156</v>
      </c>
      <c r="AM114" s="9">
        <f t="shared" si="176"/>
        <v>589.25579999999991</v>
      </c>
      <c r="AN114" s="9">
        <f t="shared" si="177"/>
        <v>766.72286610878666</v>
      </c>
      <c r="AP114" s="8">
        <f t="shared" si="183"/>
        <v>62.980155789473685</v>
      </c>
      <c r="AQ114" s="8">
        <f t="shared" si="178"/>
        <v>49.904399999999995</v>
      </c>
      <c r="AR114" s="8">
        <f t="shared" si="179"/>
        <v>64.93418410041842</v>
      </c>
      <c r="AT114" s="8">
        <f t="shared" si="175"/>
        <v>0.8074378947369496</v>
      </c>
      <c r="AU114" s="8">
        <f t="shared" si="168"/>
        <v>0.63980000000003656</v>
      </c>
      <c r="AV114" s="8">
        <f t="shared" si="169"/>
        <v>0.83248953974907636</v>
      </c>
    </row>
    <row r="117" spans="8:48" x14ac:dyDescent="0.25">
      <c r="AC117" s="65" t="s">
        <v>115</v>
      </c>
      <c r="AP117" s="65" t="s">
        <v>125</v>
      </c>
    </row>
    <row r="118" spans="8:48" x14ac:dyDescent="0.25">
      <c r="H118" s="49"/>
      <c r="I118" s="49" t="s">
        <v>69</v>
      </c>
      <c r="J118" s="49"/>
      <c r="K118" s="49"/>
      <c r="L118" s="49"/>
      <c r="M118" s="49" t="s">
        <v>72</v>
      </c>
      <c r="N118" s="49"/>
      <c r="AB118" s="49"/>
      <c r="AC118" s="49" t="s">
        <v>73</v>
      </c>
      <c r="AD118" s="49"/>
      <c r="AO118" s="49"/>
      <c r="AP118" s="49" t="s">
        <v>73</v>
      </c>
      <c r="AQ118" s="49"/>
    </row>
    <row r="119" spans="8:48" x14ac:dyDescent="0.25">
      <c r="I119" s="35" t="s">
        <v>71</v>
      </c>
      <c r="M119" s="35" t="s">
        <v>67</v>
      </c>
      <c r="AG119" t="s">
        <v>120</v>
      </c>
    </row>
    <row r="120" spans="8:48" x14ac:dyDescent="0.25">
      <c r="H120">
        <f>H57</f>
        <v>2650</v>
      </c>
      <c r="I120">
        <f t="shared" ref="I120:J120" si="185">I57</f>
        <v>2180</v>
      </c>
      <c r="J120">
        <f t="shared" si="185"/>
        <v>2356</v>
      </c>
      <c r="L120" s="6">
        <v>12629.999999999998</v>
      </c>
      <c r="M120" s="6">
        <v>12629.999999999998</v>
      </c>
      <c r="N120" s="6">
        <v>12629.999999999998</v>
      </c>
      <c r="U120">
        <v>369.8</v>
      </c>
      <c r="V120" s="48"/>
      <c r="W120" s="9">
        <f>L120-U120</f>
        <v>12260.199999999999</v>
      </c>
      <c r="X120" s="9">
        <f>M120-U120</f>
        <v>12260.199999999999</v>
      </c>
      <c r="Y120" s="9">
        <f>N120-U120</f>
        <v>12260.199999999999</v>
      </c>
      <c r="AB120" s="7">
        <f>H120/W120</f>
        <v>0.21614655552111714</v>
      </c>
      <c r="AC120" s="7">
        <f t="shared" ref="AC120:AD120" si="186">I120/X120</f>
        <v>0.17781112869284352</v>
      </c>
      <c r="AD120" s="7">
        <f t="shared" si="186"/>
        <v>0.19216652256896299</v>
      </c>
      <c r="AF120" s="47">
        <v>195.40754716981127</v>
      </c>
      <c r="AG120" s="47">
        <v>237.53669724770637</v>
      </c>
      <c r="AH120" s="47">
        <v>219.79202037351442</v>
      </c>
      <c r="AJ120" s="47">
        <f>L120-AF120</f>
        <v>12434.592452830188</v>
      </c>
      <c r="AK120" s="47">
        <f t="shared" ref="AK120:AL120" si="187">M120-AG120</f>
        <v>12392.463302752292</v>
      </c>
      <c r="AL120" s="47">
        <f t="shared" si="187"/>
        <v>12410.207979626484</v>
      </c>
      <c r="AO120" s="7">
        <f>H120/AJ120</f>
        <v>0.21311514712304416</v>
      </c>
      <c r="AP120" s="7">
        <f t="shared" ref="AP120:AQ120" si="188">I120/AK120</f>
        <v>0.175913371437286</v>
      </c>
      <c r="AQ120" s="7">
        <f t="shared" si="188"/>
        <v>0.18984371606566014</v>
      </c>
    </row>
    <row r="121" spans="8:48" x14ac:dyDescent="0.25">
      <c r="H121">
        <f t="shared" ref="H121:J121" si="189">H58</f>
        <v>3956</v>
      </c>
      <c r="I121">
        <f t="shared" si="189"/>
        <v>4360</v>
      </c>
      <c r="J121">
        <f t="shared" si="189"/>
        <v>4450</v>
      </c>
      <c r="L121" s="6">
        <v>12120</v>
      </c>
      <c r="M121" s="6">
        <v>12120</v>
      </c>
      <c r="N121" s="6">
        <v>12120</v>
      </c>
      <c r="U121">
        <v>369.8</v>
      </c>
      <c r="V121" s="48"/>
      <c r="W121" s="9">
        <f t="shared" ref="W121:W137" si="190">L121-U121</f>
        <v>11750.2</v>
      </c>
      <c r="X121" s="9">
        <f t="shared" ref="X121:X137" si="191">M121-U121</f>
        <v>11750.2</v>
      </c>
      <c r="Y121" s="9">
        <f t="shared" ref="Y121:Y137" si="192">N121-U121</f>
        <v>11750.2</v>
      </c>
      <c r="AB121" s="7">
        <f t="shared" ref="AB121:AB137" si="193">H121/W121</f>
        <v>0.33667512042348213</v>
      </c>
      <c r="AC121" s="7">
        <f t="shared" ref="AC121:AC137" si="194">I121/X121</f>
        <v>0.37105751391465674</v>
      </c>
      <c r="AD121" s="7">
        <f t="shared" ref="AD121:AD137" si="195">J121/Y121</f>
        <v>0.37871695800922534</v>
      </c>
      <c r="AF121" s="47">
        <v>125.61172901921131</v>
      </c>
      <c r="AG121" s="47">
        <v>113.97247706422017</v>
      </c>
      <c r="AH121" s="47">
        <v>111.66741573033705</v>
      </c>
      <c r="AJ121" s="47">
        <f t="shared" ref="AJ121:AJ137" si="196">L121-AF121</f>
        <v>11994.388270980789</v>
      </c>
      <c r="AK121" s="47">
        <f t="shared" ref="AK121:AK137" si="197">M121-AG121</f>
        <v>12006.027522935779</v>
      </c>
      <c r="AL121" s="47">
        <f t="shared" ref="AL121:AL137" si="198">N121-AH121</f>
        <v>12008.332584269663</v>
      </c>
      <c r="AO121" s="7">
        <f t="shared" ref="AO121:AO137" si="199">H121/AJ121</f>
        <v>0.32982090546219373</v>
      </c>
      <c r="AP121" s="7">
        <f t="shared" ref="AP121:AP137" si="200">I121/AK121</f>
        <v>0.36315092495588991</v>
      </c>
      <c r="AQ121" s="7">
        <f t="shared" ref="AQ121:AQ137" si="201">J121/AL121</f>
        <v>0.37057601201263241</v>
      </c>
    </row>
    <row r="122" spans="8:48" x14ac:dyDescent="0.25">
      <c r="H122">
        <f t="shared" ref="H122:J122" si="202">H59</f>
        <v>4950</v>
      </c>
      <c r="I122">
        <f t="shared" si="202"/>
        <v>4860</v>
      </c>
      <c r="J122">
        <f t="shared" si="202"/>
        <v>4650</v>
      </c>
      <c r="L122" s="6">
        <v>12050</v>
      </c>
      <c r="M122" s="6">
        <v>12050</v>
      </c>
      <c r="N122" s="6">
        <v>12050</v>
      </c>
      <c r="U122">
        <v>369.8</v>
      </c>
      <c r="W122" s="9">
        <f t="shared" si="190"/>
        <v>11680.2</v>
      </c>
      <c r="X122" s="9">
        <f t="shared" si="191"/>
        <v>11680.2</v>
      </c>
      <c r="Y122" s="9">
        <f t="shared" si="192"/>
        <v>11680.2</v>
      </c>
      <c r="AB122" s="7">
        <f t="shared" si="193"/>
        <v>0.42379411311450144</v>
      </c>
      <c r="AC122" s="7">
        <f t="shared" si="194"/>
        <v>0.41608876560332869</v>
      </c>
      <c r="AD122" s="7">
        <f t="shared" si="195"/>
        <v>0.39810962141059225</v>
      </c>
      <c r="AF122" s="47">
        <v>99.808080808080788</v>
      </c>
      <c r="AG122" s="47">
        <v>101.65637860082303</v>
      </c>
      <c r="AH122" s="47">
        <v>106.24731182795696</v>
      </c>
      <c r="AJ122" s="47">
        <f t="shared" si="196"/>
        <v>11950.191919191919</v>
      </c>
      <c r="AK122" s="47">
        <f t="shared" si="197"/>
        <v>11948.343621399177</v>
      </c>
      <c r="AL122" s="47">
        <f t="shared" si="198"/>
        <v>11943.752688172042</v>
      </c>
      <c r="AO122" s="7">
        <f t="shared" si="199"/>
        <v>0.41421928898483523</v>
      </c>
      <c r="AP122" s="7">
        <f t="shared" si="200"/>
        <v>0.40675094004627255</v>
      </c>
      <c r="AQ122" s="7">
        <f t="shared" si="201"/>
        <v>0.38932487312843628</v>
      </c>
    </row>
    <row r="123" spans="8:48" x14ac:dyDescent="0.25">
      <c r="H123">
        <f t="shared" ref="H123:J123" si="203">H60</f>
        <v>3960</v>
      </c>
      <c r="I123">
        <f t="shared" si="203"/>
        <v>3890</v>
      </c>
      <c r="J123">
        <f t="shared" si="203"/>
        <v>3679.9999999999995</v>
      </c>
      <c r="L123" s="6">
        <v>11880</v>
      </c>
      <c r="M123" s="6">
        <v>11880</v>
      </c>
      <c r="N123" s="6">
        <v>11880</v>
      </c>
      <c r="U123">
        <v>369.8</v>
      </c>
      <c r="W123" s="9">
        <f t="shared" si="190"/>
        <v>11510.2</v>
      </c>
      <c r="X123" s="9">
        <f t="shared" si="191"/>
        <v>11510.2</v>
      </c>
      <c r="Y123" s="9">
        <f t="shared" si="192"/>
        <v>11510.2</v>
      </c>
      <c r="AB123" s="7">
        <f t="shared" si="193"/>
        <v>0.34404267519243797</v>
      </c>
      <c r="AC123" s="7">
        <f t="shared" si="194"/>
        <v>0.33796111275216761</v>
      </c>
      <c r="AD123" s="7">
        <f t="shared" si="195"/>
        <v>0.31971642543135648</v>
      </c>
      <c r="AF123" s="47">
        <v>122.99999999999999</v>
      </c>
      <c r="AG123" s="47">
        <v>125.21336760925449</v>
      </c>
      <c r="AH123" s="47">
        <v>132.35869565217391</v>
      </c>
      <c r="AJ123" s="47">
        <f t="shared" si="196"/>
        <v>11757</v>
      </c>
      <c r="AK123" s="47">
        <f t="shared" si="197"/>
        <v>11754.786632390746</v>
      </c>
      <c r="AL123" s="47">
        <f t="shared" si="198"/>
        <v>11747.641304347826</v>
      </c>
      <c r="AO123" s="7">
        <f t="shared" si="199"/>
        <v>0.3368206175044654</v>
      </c>
      <c r="AP123" s="7">
        <f t="shared" si="200"/>
        <v>0.33092901825040044</v>
      </c>
      <c r="AQ123" s="7">
        <f t="shared" si="201"/>
        <v>0.31325437206173667</v>
      </c>
    </row>
    <row r="124" spans="8:48" x14ac:dyDescent="0.25">
      <c r="H124">
        <f t="shared" ref="H124:J124" si="204">H61</f>
        <v>4650</v>
      </c>
      <c r="I124">
        <f t="shared" si="204"/>
        <v>4890</v>
      </c>
      <c r="J124">
        <f t="shared" si="204"/>
        <v>4560</v>
      </c>
      <c r="L124" s="6">
        <v>11680</v>
      </c>
      <c r="M124" s="6">
        <v>11680</v>
      </c>
      <c r="N124" s="6">
        <v>11680</v>
      </c>
      <c r="U124">
        <v>369.8</v>
      </c>
      <c r="W124" s="9">
        <f t="shared" si="190"/>
        <v>11310.2</v>
      </c>
      <c r="X124" s="9">
        <f t="shared" si="191"/>
        <v>11310.2</v>
      </c>
      <c r="Y124" s="9">
        <f t="shared" si="192"/>
        <v>11310.2</v>
      </c>
      <c r="AB124" s="7">
        <f t="shared" si="193"/>
        <v>0.41113331329242631</v>
      </c>
      <c r="AC124" s="7">
        <f t="shared" si="194"/>
        <v>0.43235309720429344</v>
      </c>
      <c r="AD124" s="7">
        <f t="shared" si="195"/>
        <v>0.40317589432547607</v>
      </c>
      <c r="AF124" s="47">
        <v>102.98494623655911</v>
      </c>
      <c r="AG124" s="47">
        <v>97.930470347648267</v>
      </c>
      <c r="AH124" s="47">
        <v>105.01754385964911</v>
      </c>
      <c r="AJ124" s="47">
        <f t="shared" si="196"/>
        <v>11577.015053763442</v>
      </c>
      <c r="AK124" s="47">
        <f t="shared" si="197"/>
        <v>11582.069529652352</v>
      </c>
      <c r="AL124" s="47">
        <f t="shared" si="198"/>
        <v>11574.982456140351</v>
      </c>
      <c r="AO124" s="7">
        <f t="shared" si="199"/>
        <v>0.40165793845870346</v>
      </c>
      <c r="AP124" s="7">
        <f t="shared" si="200"/>
        <v>0.42220433813496355</v>
      </c>
      <c r="AQ124" s="7">
        <f t="shared" si="201"/>
        <v>0.39395308090346087</v>
      </c>
    </row>
    <row r="125" spans="8:48" x14ac:dyDescent="0.25">
      <c r="H125">
        <f t="shared" ref="H125:J125" si="205">H62</f>
        <v>5260</v>
      </c>
      <c r="I125">
        <f t="shared" si="205"/>
        <v>5080</v>
      </c>
      <c r="J125">
        <f t="shared" si="205"/>
        <v>4890</v>
      </c>
      <c r="L125" s="6">
        <v>10840</v>
      </c>
      <c r="M125" s="6">
        <v>10840</v>
      </c>
      <c r="N125" s="6">
        <v>10840</v>
      </c>
      <c r="U125">
        <v>369.8</v>
      </c>
      <c r="W125" s="9">
        <f t="shared" si="190"/>
        <v>10470.200000000001</v>
      </c>
      <c r="X125" s="9">
        <f t="shared" si="191"/>
        <v>10470.200000000001</v>
      </c>
      <c r="Y125" s="9">
        <f t="shared" si="192"/>
        <v>10470.200000000001</v>
      </c>
      <c r="AB125" s="7">
        <f t="shared" si="193"/>
        <v>0.50237817806727658</v>
      </c>
      <c r="AC125" s="7">
        <f t="shared" si="194"/>
        <v>0.48518652938816831</v>
      </c>
      <c r="AD125" s="7">
        <f t="shared" si="195"/>
        <v>0.46703978911577615</v>
      </c>
      <c r="AF125" s="47">
        <v>84.49429657794677</v>
      </c>
      <c r="AG125" s="47">
        <v>87.488188976377955</v>
      </c>
      <c r="AH125" s="47">
        <v>90.88752556237219</v>
      </c>
      <c r="AJ125" s="47">
        <f t="shared" si="196"/>
        <v>10755.505703422054</v>
      </c>
      <c r="AK125" s="47">
        <f t="shared" si="197"/>
        <v>10752.511811023622</v>
      </c>
      <c r="AL125" s="47">
        <f t="shared" si="198"/>
        <v>10749.112474437628</v>
      </c>
      <c r="AO125" s="7">
        <f t="shared" si="199"/>
        <v>0.48905185353827096</v>
      </c>
      <c r="AP125" s="7">
        <f t="shared" si="200"/>
        <v>0.47244774888709395</v>
      </c>
      <c r="AQ125" s="7">
        <f t="shared" si="201"/>
        <v>0.45492127946645516</v>
      </c>
    </row>
    <row r="126" spans="8:48" x14ac:dyDescent="0.25">
      <c r="H126">
        <f t="shared" ref="H126:J126" si="206">H63</f>
        <v>3979.9999999999995</v>
      </c>
      <c r="I126">
        <f t="shared" si="206"/>
        <v>3940</v>
      </c>
      <c r="J126">
        <f t="shared" si="206"/>
        <v>4079.9999999999995</v>
      </c>
      <c r="L126" s="6">
        <v>11379.999999999998</v>
      </c>
      <c r="M126" s="6">
        <v>11379.999999999998</v>
      </c>
      <c r="N126" s="6">
        <v>11379.999999999998</v>
      </c>
      <c r="U126">
        <v>369.8</v>
      </c>
      <c r="W126" s="9">
        <f t="shared" si="190"/>
        <v>11010.199999999999</v>
      </c>
      <c r="X126" s="9">
        <f t="shared" si="191"/>
        <v>11010.199999999999</v>
      </c>
      <c r="Y126" s="9">
        <f t="shared" si="192"/>
        <v>11010.199999999999</v>
      </c>
      <c r="AB126" s="7">
        <f t="shared" si="193"/>
        <v>0.36148298850157129</v>
      </c>
      <c r="AC126" s="7">
        <f t="shared" si="194"/>
        <v>0.35784999364225906</v>
      </c>
      <c r="AD126" s="7">
        <f t="shared" si="195"/>
        <v>0.37056547564985193</v>
      </c>
      <c r="AF126" s="47">
        <v>117.23115577889445</v>
      </c>
      <c r="AG126" s="47">
        <v>118.42131979695431</v>
      </c>
      <c r="AH126" s="47">
        <v>114.35784313725486</v>
      </c>
      <c r="AJ126" s="47">
        <f t="shared" si="196"/>
        <v>11262.768844221104</v>
      </c>
      <c r="AK126" s="47">
        <f t="shared" si="197"/>
        <v>11261.578680203043</v>
      </c>
      <c r="AL126" s="47">
        <f t="shared" si="198"/>
        <v>11265.642156862743</v>
      </c>
      <c r="AO126" s="7">
        <f t="shared" si="199"/>
        <v>0.35337669227244478</v>
      </c>
      <c r="AP126" s="7">
        <f t="shared" si="200"/>
        <v>0.34986213850516407</v>
      </c>
      <c r="AQ126" s="7">
        <f t="shared" si="201"/>
        <v>0.36216311002871393</v>
      </c>
    </row>
    <row r="127" spans="8:48" x14ac:dyDescent="0.25">
      <c r="H127">
        <f t="shared" ref="H127:J127" si="207">H64</f>
        <v>4460</v>
      </c>
      <c r="I127">
        <f t="shared" si="207"/>
        <v>4380</v>
      </c>
      <c r="J127">
        <f t="shared" si="207"/>
        <v>4280</v>
      </c>
      <c r="L127" s="6">
        <v>11180.000000000002</v>
      </c>
      <c r="M127" s="6">
        <v>11180.000000000002</v>
      </c>
      <c r="N127" s="6">
        <v>11180.000000000002</v>
      </c>
      <c r="U127">
        <v>369.8</v>
      </c>
      <c r="W127" s="9">
        <f t="shared" si="190"/>
        <v>10810.200000000003</v>
      </c>
      <c r="X127" s="9">
        <f t="shared" si="191"/>
        <v>10810.200000000003</v>
      </c>
      <c r="Y127" s="9">
        <f t="shared" si="192"/>
        <v>10810.200000000003</v>
      </c>
      <c r="AB127" s="7">
        <f t="shared" si="193"/>
        <v>0.41257331039203704</v>
      </c>
      <c r="AC127" s="7">
        <f t="shared" si="194"/>
        <v>0.40517289226841308</v>
      </c>
      <c r="AD127" s="7">
        <f t="shared" si="195"/>
        <v>0.39592236961388311</v>
      </c>
      <c r="AF127" s="47">
        <v>102.77578475336324</v>
      </c>
      <c r="AG127" s="47">
        <v>104.65296803652969</v>
      </c>
      <c r="AH127" s="47">
        <v>107.09813084112152</v>
      </c>
      <c r="AJ127" s="47">
        <f t="shared" si="196"/>
        <v>11077.224215246639</v>
      </c>
      <c r="AK127" s="47">
        <f t="shared" si="197"/>
        <v>11075.347031963473</v>
      </c>
      <c r="AL127" s="47">
        <f t="shared" si="198"/>
        <v>11072.901869158881</v>
      </c>
      <c r="AO127" s="7">
        <f t="shared" si="199"/>
        <v>0.40262794300590909</v>
      </c>
      <c r="AP127" s="7">
        <f t="shared" si="200"/>
        <v>0.39547293528223648</v>
      </c>
      <c r="AQ127" s="7">
        <f t="shared" si="201"/>
        <v>0.38652920892589082</v>
      </c>
    </row>
    <row r="128" spans="8:48" x14ac:dyDescent="0.25">
      <c r="H128">
        <f t="shared" ref="H128:J128" si="208">H65</f>
        <v>3950</v>
      </c>
      <c r="I128">
        <f t="shared" si="208"/>
        <v>3679.9999999999995</v>
      </c>
      <c r="J128">
        <f t="shared" si="208"/>
        <v>3450</v>
      </c>
      <c r="L128" s="6">
        <v>10760</v>
      </c>
      <c r="M128" s="6">
        <v>10760</v>
      </c>
      <c r="N128" s="6">
        <v>10760</v>
      </c>
      <c r="U128">
        <v>369.8</v>
      </c>
      <c r="W128" s="9">
        <f t="shared" si="190"/>
        <v>10390.200000000001</v>
      </c>
      <c r="X128" s="9">
        <f t="shared" si="191"/>
        <v>10390.200000000001</v>
      </c>
      <c r="Y128" s="9">
        <f t="shared" si="192"/>
        <v>10390.200000000001</v>
      </c>
      <c r="AB128" s="7">
        <f t="shared" si="193"/>
        <v>0.38016592558372309</v>
      </c>
      <c r="AC128" s="7">
        <f t="shared" si="194"/>
        <v>0.35417990029065843</v>
      </c>
      <c r="AD128" s="7">
        <f t="shared" si="195"/>
        <v>0.33204365652249235</v>
      </c>
      <c r="AF128" s="47">
        <v>111.68607594936708</v>
      </c>
      <c r="AG128" s="47">
        <v>119.88043478260869</v>
      </c>
      <c r="AH128" s="47">
        <v>127.87246376811594</v>
      </c>
      <c r="AJ128" s="47">
        <f t="shared" si="196"/>
        <v>10648.313924050633</v>
      </c>
      <c r="AK128" s="47">
        <f t="shared" si="197"/>
        <v>10640.119565217392</v>
      </c>
      <c r="AL128" s="47">
        <f t="shared" si="198"/>
        <v>10632.127536231885</v>
      </c>
      <c r="AO128" s="7">
        <f t="shared" si="199"/>
        <v>0.37095074658518468</v>
      </c>
      <c r="AP128" s="7">
        <f t="shared" si="200"/>
        <v>0.34586077510162005</v>
      </c>
      <c r="AQ128" s="7">
        <f t="shared" si="201"/>
        <v>0.32448820692219699</v>
      </c>
    </row>
    <row r="129" spans="8:43" x14ac:dyDescent="0.25">
      <c r="H129">
        <f t="shared" ref="H129:J129" si="209">H66</f>
        <v>2010.0000000000002</v>
      </c>
      <c r="I129">
        <f t="shared" si="209"/>
        <v>2260</v>
      </c>
      <c r="J129">
        <f t="shared" si="209"/>
        <v>2650</v>
      </c>
      <c r="L129" s="9">
        <v>11000</v>
      </c>
      <c r="M129" s="9">
        <v>11000</v>
      </c>
      <c r="N129" s="9">
        <v>11000</v>
      </c>
      <c r="U129">
        <v>369.8</v>
      </c>
      <c r="W129" s="9">
        <f t="shared" si="190"/>
        <v>10630.2</v>
      </c>
      <c r="X129" s="9">
        <f t="shared" si="191"/>
        <v>10630.2</v>
      </c>
      <c r="Y129" s="9">
        <f t="shared" si="192"/>
        <v>10630.2</v>
      </c>
      <c r="AB129" s="7">
        <f t="shared" si="193"/>
        <v>0.18908393068803975</v>
      </c>
      <c r="AC129" s="7">
        <f t="shared" si="194"/>
        <v>0.21260183251491033</v>
      </c>
      <c r="AD129" s="7">
        <f t="shared" si="195"/>
        <v>0.2492897593648285</v>
      </c>
      <c r="AF129" s="47">
        <v>224.37810945273628</v>
      </c>
      <c r="AG129" s="47">
        <v>199.55752212389379</v>
      </c>
      <c r="AH129" s="47">
        <v>170.18867924528303</v>
      </c>
      <c r="AJ129" s="47">
        <f t="shared" si="196"/>
        <v>10775.621890547263</v>
      </c>
      <c r="AK129" s="47">
        <f t="shared" si="197"/>
        <v>10800.442477876106</v>
      </c>
      <c r="AL129" s="47">
        <f t="shared" si="198"/>
        <v>10829.811320754718</v>
      </c>
      <c r="AO129" s="7">
        <f t="shared" si="199"/>
        <v>0.18653215753266544</v>
      </c>
      <c r="AP129" s="7">
        <f t="shared" si="200"/>
        <v>0.20925068622229506</v>
      </c>
      <c r="AQ129" s="7">
        <f t="shared" si="201"/>
        <v>0.24469493710582249</v>
      </c>
    </row>
    <row r="130" spans="8:43" x14ac:dyDescent="0.25">
      <c r="H130">
        <f t="shared" ref="H130:J130" si="210">H67</f>
        <v>3979.9999999999995</v>
      </c>
      <c r="I130">
        <f t="shared" si="210"/>
        <v>3510</v>
      </c>
      <c r="J130">
        <f t="shared" si="210"/>
        <v>3950</v>
      </c>
      <c r="L130" s="9">
        <v>10650</v>
      </c>
      <c r="M130" s="9">
        <v>10650</v>
      </c>
      <c r="N130" s="9">
        <v>10650</v>
      </c>
      <c r="U130">
        <v>369.8</v>
      </c>
      <c r="W130" s="9">
        <f t="shared" si="190"/>
        <v>10280.200000000001</v>
      </c>
      <c r="X130" s="9">
        <f t="shared" si="191"/>
        <v>10280.200000000001</v>
      </c>
      <c r="Y130" s="9">
        <f t="shared" si="192"/>
        <v>10280.200000000001</v>
      </c>
      <c r="AB130" s="7">
        <f t="shared" si="193"/>
        <v>0.3871520009338339</v>
      </c>
      <c r="AC130" s="7">
        <f t="shared" si="194"/>
        <v>0.34143304604968772</v>
      </c>
      <c r="AD130" s="7">
        <f t="shared" si="195"/>
        <v>0.38423376977101609</v>
      </c>
      <c r="AF130" s="47">
        <v>85.628140703517602</v>
      </c>
      <c r="AG130" s="47">
        <v>97.09401709401709</v>
      </c>
      <c r="AH130" s="47">
        <v>86.278481012658233</v>
      </c>
      <c r="AJ130" s="47">
        <f t="shared" si="196"/>
        <v>10564.371859296483</v>
      </c>
      <c r="AK130" s="47">
        <f t="shared" si="197"/>
        <v>10552.905982905982</v>
      </c>
      <c r="AL130" s="47">
        <f t="shared" si="198"/>
        <v>10563.721518987342</v>
      </c>
      <c r="AO130" s="7">
        <f t="shared" si="199"/>
        <v>0.376737969186276</v>
      </c>
      <c r="AP130" s="7">
        <f t="shared" si="200"/>
        <v>0.33260980489029635</v>
      </c>
      <c r="AQ130" s="7">
        <f t="shared" si="201"/>
        <v>0.37392125425686668</v>
      </c>
    </row>
    <row r="131" spans="8:43" x14ac:dyDescent="0.25">
      <c r="H131">
        <f t="shared" ref="H131:J131" si="211">H68</f>
        <v>4895</v>
      </c>
      <c r="I131">
        <f t="shared" si="211"/>
        <v>4950</v>
      </c>
      <c r="J131">
        <f t="shared" si="211"/>
        <v>4450</v>
      </c>
      <c r="L131" s="9">
        <v>10180</v>
      </c>
      <c r="M131" s="9">
        <v>10180</v>
      </c>
      <c r="N131" s="9">
        <v>10180</v>
      </c>
      <c r="U131">
        <v>369.8</v>
      </c>
      <c r="W131" s="9">
        <f t="shared" si="190"/>
        <v>9810.2000000000007</v>
      </c>
      <c r="X131" s="9">
        <f t="shared" si="191"/>
        <v>9810.2000000000007</v>
      </c>
      <c r="Y131" s="9">
        <f t="shared" si="192"/>
        <v>9810.2000000000007</v>
      </c>
      <c r="AB131" s="7">
        <f t="shared" si="193"/>
        <v>0.49897045931785283</v>
      </c>
      <c r="AC131" s="7">
        <f t="shared" si="194"/>
        <v>0.5045768689731096</v>
      </c>
      <c r="AD131" s="7">
        <f t="shared" si="195"/>
        <v>0.4536095084707753</v>
      </c>
      <c r="AF131" s="47">
        <v>66.549540347293146</v>
      </c>
      <c r="AG131" s="47">
        <v>65.810101010101008</v>
      </c>
      <c r="AH131" s="47">
        <v>73.204494382022474</v>
      </c>
      <c r="AJ131" s="47">
        <f t="shared" si="196"/>
        <v>10113.450459652708</v>
      </c>
      <c r="AK131" s="47">
        <f t="shared" si="197"/>
        <v>10114.189898989898</v>
      </c>
      <c r="AL131" s="47">
        <f t="shared" si="198"/>
        <v>10106.795505617978</v>
      </c>
      <c r="AO131" s="7">
        <f t="shared" si="199"/>
        <v>0.4840088968179998</v>
      </c>
      <c r="AP131" s="7">
        <f t="shared" si="200"/>
        <v>0.48941141598442356</v>
      </c>
      <c r="AQ131" s="7">
        <f t="shared" si="201"/>
        <v>0.44029781719897437</v>
      </c>
    </row>
    <row r="132" spans="8:43" x14ac:dyDescent="0.25">
      <c r="H132">
        <f t="shared" ref="H132:J132" si="212">H69</f>
        <v>3840</v>
      </c>
      <c r="I132">
        <f t="shared" si="212"/>
        <v>3779.9999999999995</v>
      </c>
      <c r="J132">
        <f t="shared" si="212"/>
        <v>3540</v>
      </c>
      <c r="L132" s="9">
        <v>9990</v>
      </c>
      <c r="M132" s="9">
        <v>9990</v>
      </c>
      <c r="N132" s="9">
        <v>9990</v>
      </c>
      <c r="U132">
        <v>369.8</v>
      </c>
      <c r="W132" s="9">
        <f t="shared" si="190"/>
        <v>9620.2000000000007</v>
      </c>
      <c r="X132" s="9">
        <f t="shared" si="191"/>
        <v>9620.2000000000007</v>
      </c>
      <c r="Y132" s="9">
        <f t="shared" si="192"/>
        <v>9620.2000000000007</v>
      </c>
      <c r="AB132" s="7">
        <f t="shared" si="193"/>
        <v>0.39916010062160867</v>
      </c>
      <c r="AC132" s="7">
        <f t="shared" si="194"/>
        <v>0.392923224049396</v>
      </c>
      <c r="AD132" s="7">
        <f t="shared" si="195"/>
        <v>0.3679757177605455</v>
      </c>
      <c r="AF132" s="47">
        <v>83.25</v>
      </c>
      <c r="AG132" s="47">
        <v>84.571428571428584</v>
      </c>
      <c r="AH132" s="47">
        <v>90.305084745762713</v>
      </c>
      <c r="AJ132" s="47">
        <f t="shared" si="196"/>
        <v>9906.75</v>
      </c>
      <c r="AK132" s="47">
        <f t="shared" si="197"/>
        <v>9905.4285714285706</v>
      </c>
      <c r="AL132" s="47">
        <f t="shared" si="198"/>
        <v>9899.6949152542365</v>
      </c>
      <c r="AO132" s="7">
        <f t="shared" si="199"/>
        <v>0.3876145052615641</v>
      </c>
      <c r="AP132" s="7">
        <f t="shared" si="200"/>
        <v>0.38160893016816172</v>
      </c>
      <c r="AQ132" s="7">
        <f t="shared" si="201"/>
        <v>0.35758677719909193</v>
      </c>
    </row>
    <row r="133" spans="8:43" x14ac:dyDescent="0.25">
      <c r="H133">
        <f t="shared" ref="H133:J133" si="213">H70</f>
        <v>3750</v>
      </c>
      <c r="I133">
        <f t="shared" si="213"/>
        <v>4750</v>
      </c>
      <c r="J133">
        <f t="shared" si="213"/>
        <v>4350</v>
      </c>
      <c r="L133" s="9">
        <v>9680</v>
      </c>
      <c r="M133" s="9">
        <v>9680</v>
      </c>
      <c r="N133" s="9">
        <v>9680</v>
      </c>
      <c r="U133">
        <v>369.8</v>
      </c>
      <c r="W133" s="9">
        <f t="shared" si="190"/>
        <v>9310.2000000000007</v>
      </c>
      <c r="X133" s="9">
        <f t="shared" si="191"/>
        <v>9310.2000000000007</v>
      </c>
      <c r="Y133" s="9">
        <f t="shared" si="192"/>
        <v>9310.2000000000007</v>
      </c>
      <c r="AB133" s="7">
        <f t="shared" si="193"/>
        <v>0.4027840433073403</v>
      </c>
      <c r="AC133" s="7">
        <f t="shared" si="194"/>
        <v>0.51019312152263108</v>
      </c>
      <c r="AD133" s="7">
        <f t="shared" si="195"/>
        <v>0.46722949023651478</v>
      </c>
      <c r="AF133" s="47">
        <v>82.602666666666678</v>
      </c>
      <c r="AG133" s="47">
        <v>65.212631578947367</v>
      </c>
      <c r="AH133" s="47">
        <v>71.20919540229886</v>
      </c>
      <c r="AJ133" s="47">
        <f t="shared" si="196"/>
        <v>9597.3973333333324</v>
      </c>
      <c r="AK133" s="47">
        <f t="shared" si="197"/>
        <v>9614.7873684210535</v>
      </c>
      <c r="AL133" s="47">
        <f t="shared" si="198"/>
        <v>9608.7908045977019</v>
      </c>
      <c r="AO133" s="7">
        <f t="shared" si="199"/>
        <v>0.39073093149698368</v>
      </c>
      <c r="AP133" s="7">
        <f t="shared" si="200"/>
        <v>0.49403068606602457</v>
      </c>
      <c r="AQ133" s="7">
        <f t="shared" si="201"/>
        <v>0.45271044905240027</v>
      </c>
    </row>
    <row r="134" spans="8:43" x14ac:dyDescent="0.25">
      <c r="H134">
        <f t="shared" ref="H134:J134" si="214">H71</f>
        <v>4750</v>
      </c>
      <c r="I134">
        <f t="shared" si="214"/>
        <v>5350</v>
      </c>
      <c r="J134">
        <f t="shared" si="214"/>
        <v>4780</v>
      </c>
      <c r="L134" s="9">
        <v>8560</v>
      </c>
      <c r="M134" s="9">
        <v>8560</v>
      </c>
      <c r="N134" s="9">
        <v>8560</v>
      </c>
      <c r="U134">
        <v>369.8</v>
      </c>
      <c r="W134" s="9">
        <f t="shared" si="190"/>
        <v>8190.2</v>
      </c>
      <c r="X134" s="9">
        <f t="shared" si="191"/>
        <v>8190.2</v>
      </c>
      <c r="Y134" s="9">
        <f t="shared" si="192"/>
        <v>8190.2</v>
      </c>
      <c r="AB134" s="7">
        <f t="shared" si="193"/>
        <v>0.57996141730360673</v>
      </c>
      <c r="AC134" s="7">
        <f t="shared" si="194"/>
        <v>0.65321970159458864</v>
      </c>
      <c r="AD134" s="7">
        <f t="shared" si="195"/>
        <v>0.58362433151815585</v>
      </c>
      <c r="AF134" s="47">
        <v>57.667368421052636</v>
      </c>
      <c r="AG134" s="47">
        <v>51.2</v>
      </c>
      <c r="AH134" s="47">
        <v>57.30543933054394</v>
      </c>
      <c r="AJ134" s="47">
        <f t="shared" si="196"/>
        <v>8502.3326315789473</v>
      </c>
      <c r="AK134" s="47">
        <f t="shared" si="197"/>
        <v>8508.7999999999993</v>
      </c>
      <c r="AL134" s="47">
        <f t="shared" si="198"/>
        <v>8502.6945606694553</v>
      </c>
      <c r="AO134" s="7">
        <f t="shared" si="199"/>
        <v>0.55867021508400916</v>
      </c>
      <c r="AP134" s="7">
        <f t="shared" si="200"/>
        <v>0.62876081233546455</v>
      </c>
      <c r="AQ134" s="7">
        <f t="shared" si="201"/>
        <v>0.56217472777519706</v>
      </c>
    </row>
    <row r="135" spans="8:43" x14ac:dyDescent="0.25">
      <c r="H135">
        <f t="shared" ref="H135:J135" si="215">H72</f>
        <v>4050</v>
      </c>
      <c r="I135">
        <f t="shared" si="215"/>
        <v>3579.9999999999995</v>
      </c>
      <c r="J135">
        <f t="shared" si="215"/>
        <v>4160</v>
      </c>
      <c r="L135" s="9">
        <v>9280</v>
      </c>
      <c r="M135" s="9">
        <v>9280</v>
      </c>
      <c r="N135" s="9">
        <v>9280</v>
      </c>
      <c r="U135">
        <v>369.8</v>
      </c>
      <c r="W135" s="9">
        <f t="shared" si="190"/>
        <v>8910.2000000000007</v>
      </c>
      <c r="X135" s="9">
        <f t="shared" si="191"/>
        <v>8910.2000000000007</v>
      </c>
      <c r="Y135" s="9">
        <f t="shared" si="192"/>
        <v>8910.2000000000007</v>
      </c>
      <c r="AB135" s="7">
        <f t="shared" si="193"/>
        <v>0.45453525173396775</v>
      </c>
      <c r="AC135" s="7">
        <f t="shared" si="194"/>
        <v>0.40178671634755664</v>
      </c>
      <c r="AD135" s="7">
        <f t="shared" si="195"/>
        <v>0.46688065363291503</v>
      </c>
      <c r="AF135" s="47">
        <v>73.323456790123458</v>
      </c>
      <c r="AG135" s="47">
        <v>82.949720670391073</v>
      </c>
      <c r="AH135" s="47">
        <v>71.384615384615387</v>
      </c>
      <c r="AJ135" s="47">
        <f t="shared" si="196"/>
        <v>9206.6765432098764</v>
      </c>
      <c r="AK135" s="47">
        <f t="shared" si="197"/>
        <v>9197.0502793296091</v>
      </c>
      <c r="AL135" s="47">
        <f t="shared" si="198"/>
        <v>9208.6153846153848</v>
      </c>
      <c r="AO135" s="7">
        <f t="shared" si="199"/>
        <v>0.43989815228025608</v>
      </c>
      <c r="AP135" s="7">
        <f t="shared" si="200"/>
        <v>0.38925523850250743</v>
      </c>
      <c r="AQ135" s="7">
        <f t="shared" si="201"/>
        <v>0.45175086875167064</v>
      </c>
    </row>
    <row r="136" spans="8:43" x14ac:dyDescent="0.25">
      <c r="H136">
        <f t="shared" ref="H136:J136" si="216">H73</f>
        <v>4150</v>
      </c>
      <c r="I136">
        <f t="shared" si="216"/>
        <v>4260</v>
      </c>
      <c r="J136">
        <f t="shared" si="216"/>
        <v>4530</v>
      </c>
      <c r="L136" s="9">
        <v>8840</v>
      </c>
      <c r="M136" s="9">
        <v>8840</v>
      </c>
      <c r="N136" s="9">
        <v>8840</v>
      </c>
      <c r="U136">
        <v>369.8</v>
      </c>
      <c r="W136" s="9">
        <f t="shared" si="190"/>
        <v>8470.2000000000007</v>
      </c>
      <c r="X136" s="9">
        <f t="shared" si="191"/>
        <v>8470.2000000000007</v>
      </c>
      <c r="Y136" s="9">
        <f t="shared" si="192"/>
        <v>8470.2000000000007</v>
      </c>
      <c r="AB136" s="7">
        <f t="shared" si="193"/>
        <v>0.48995301173526007</v>
      </c>
      <c r="AC136" s="7">
        <f t="shared" si="194"/>
        <v>0.50293971807041149</v>
      </c>
      <c r="AD136" s="7">
        <f t="shared" si="195"/>
        <v>0.53481617907487422</v>
      </c>
      <c r="AF136" s="47">
        <v>68.163855421686733</v>
      </c>
      <c r="AG136" s="47">
        <v>66.403755868544607</v>
      </c>
      <c r="AH136" s="47">
        <v>62.4459161147903</v>
      </c>
      <c r="AJ136" s="47">
        <f t="shared" si="196"/>
        <v>8771.8361445783139</v>
      </c>
      <c r="AK136" s="47">
        <f t="shared" si="197"/>
        <v>8773.596244131455</v>
      </c>
      <c r="AL136" s="47">
        <f t="shared" si="198"/>
        <v>8777.5540838852103</v>
      </c>
      <c r="AO136" s="7">
        <f t="shared" si="199"/>
        <v>0.47310505253395857</v>
      </c>
      <c r="AP136" s="7">
        <f t="shared" si="200"/>
        <v>0.48554775960307711</v>
      </c>
      <c r="AQ136" s="7">
        <f t="shared" si="201"/>
        <v>0.51608910144076092</v>
      </c>
    </row>
    <row r="137" spans="8:43" x14ac:dyDescent="0.25">
      <c r="H137">
        <f t="shared" ref="H137:J137" si="217">H74</f>
        <v>3560</v>
      </c>
      <c r="I137">
        <f t="shared" si="217"/>
        <v>3860</v>
      </c>
      <c r="J137">
        <f t="shared" si="217"/>
        <v>3450</v>
      </c>
      <c r="L137" s="9">
        <v>8370</v>
      </c>
      <c r="M137" s="9">
        <v>8370</v>
      </c>
      <c r="N137" s="9">
        <v>8370</v>
      </c>
      <c r="U137">
        <v>369.8</v>
      </c>
      <c r="W137" s="9">
        <f t="shared" si="190"/>
        <v>8000.2</v>
      </c>
      <c r="X137" s="9">
        <f t="shared" si="191"/>
        <v>8000.2</v>
      </c>
      <c r="Y137" s="9">
        <f t="shared" si="192"/>
        <v>8000.2</v>
      </c>
      <c r="AB137" s="7">
        <f t="shared" si="193"/>
        <v>0.44498887527811803</v>
      </c>
      <c r="AC137" s="7">
        <f t="shared" si="194"/>
        <v>0.48248793780155497</v>
      </c>
      <c r="AD137" s="7">
        <f t="shared" si="195"/>
        <v>0.4312392190195245</v>
      </c>
      <c r="AF137" s="47">
        <v>75.235955056179776</v>
      </c>
      <c r="AG137" s="47">
        <v>69.388601036269435</v>
      </c>
      <c r="AH137" s="47">
        <v>77.634782608695645</v>
      </c>
      <c r="AJ137" s="47">
        <f t="shared" si="196"/>
        <v>8294.7640449438204</v>
      </c>
      <c r="AK137" s="47">
        <f t="shared" si="197"/>
        <v>8300.6113989637306</v>
      </c>
      <c r="AL137" s="47">
        <f t="shared" si="198"/>
        <v>8292.3652173913051</v>
      </c>
      <c r="AO137" s="7">
        <f t="shared" si="199"/>
        <v>0.42918640972916444</v>
      </c>
      <c r="AP137" s="7">
        <f t="shared" si="200"/>
        <v>0.46502598597518879</v>
      </c>
      <c r="AQ137" s="7">
        <f t="shared" si="201"/>
        <v>0.41604535130271741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26"/>
  <sheetViews>
    <sheetView topLeftCell="A202" zoomScale="90" zoomScaleNormal="90" workbookViewId="0">
      <selection activeCell="P234" sqref="P234:P237"/>
    </sheetView>
  </sheetViews>
  <sheetFormatPr defaultColWidth="8.85546875" defaultRowHeight="15" x14ac:dyDescent="0.25"/>
  <cols>
    <col min="1" max="1" width="17.7109375" style="15" bestFit="1" customWidth="1"/>
    <col min="2" max="2" width="11.5703125" style="16" bestFit="1" customWidth="1"/>
    <col min="3" max="3" width="11.42578125" style="16" customWidth="1"/>
    <col min="4" max="4" width="11.5703125" style="16" bestFit="1" customWidth="1"/>
    <col min="5" max="6" width="9.140625" style="16" bestFit="1" customWidth="1"/>
    <col min="7" max="7" width="10.7109375" style="16" bestFit="1" customWidth="1"/>
    <col min="8" max="8" width="9.140625" style="16" bestFit="1" customWidth="1"/>
    <col min="9" max="9" width="13.42578125" style="16" customWidth="1"/>
    <col min="10" max="10" width="11.28515625" style="16" bestFit="1" customWidth="1"/>
    <col min="11" max="11" width="10.28515625" style="16" bestFit="1" customWidth="1"/>
    <col min="12" max="12" width="9.140625" style="16" bestFit="1" customWidth="1"/>
    <col min="13" max="13" width="9.5703125" style="16" bestFit="1" customWidth="1"/>
    <col min="14" max="14" width="9.5703125" style="16" customWidth="1"/>
    <col min="15" max="15" width="9.140625" style="16" bestFit="1" customWidth="1"/>
    <col min="16" max="16" width="12.28515625" style="16" bestFit="1" customWidth="1"/>
    <col min="17" max="17" width="9.85546875" style="15" customWidth="1"/>
    <col min="18" max="16384" width="8.85546875" style="15"/>
  </cols>
  <sheetData>
    <row r="2" spans="1:21" x14ac:dyDescent="0.25">
      <c r="C2" s="17">
        <v>2019</v>
      </c>
    </row>
    <row r="3" spans="1:21" ht="15.75" x14ac:dyDescent="0.25">
      <c r="C3" s="50" t="s">
        <v>78</v>
      </c>
    </row>
    <row r="4" spans="1:21" x14ac:dyDescent="0.25">
      <c r="C4" s="51" t="s">
        <v>79</v>
      </c>
    </row>
    <row r="5" spans="1:21" x14ac:dyDescent="0.25">
      <c r="A5" s="19" t="s">
        <v>13</v>
      </c>
      <c r="B5" s="20">
        <v>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1"/>
      <c r="P5" s="21"/>
    </row>
    <row r="6" spans="1:21" x14ac:dyDescent="0.25">
      <c r="A6" s="19" t="s">
        <v>14</v>
      </c>
      <c r="B6" s="20">
        <v>9</v>
      </c>
      <c r="C6" s="21" t="s">
        <v>15</v>
      </c>
      <c r="D6" s="21">
        <v>18</v>
      </c>
      <c r="E6" s="21"/>
      <c r="F6" s="21"/>
      <c r="G6" s="21"/>
      <c r="H6" s="21"/>
      <c r="I6" s="21"/>
      <c r="J6" s="21"/>
      <c r="K6" s="21"/>
      <c r="L6" s="21"/>
      <c r="M6" s="22"/>
      <c r="N6" s="22"/>
      <c r="O6" s="21"/>
      <c r="P6" s="21"/>
    </row>
    <row r="7" spans="1:21" x14ac:dyDescent="0.25">
      <c r="A7" s="15" t="s">
        <v>16</v>
      </c>
      <c r="B7" s="23">
        <v>3</v>
      </c>
    </row>
    <row r="8" spans="1:21" x14ac:dyDescent="0.25">
      <c r="A8" s="24" t="s">
        <v>0</v>
      </c>
      <c r="B8" s="25" t="s">
        <v>17</v>
      </c>
      <c r="C8" s="25" t="s">
        <v>18</v>
      </c>
      <c r="D8" s="25" t="s">
        <v>19</v>
      </c>
      <c r="E8" s="25" t="s">
        <v>20</v>
      </c>
      <c r="F8" s="25" t="s">
        <v>11</v>
      </c>
      <c r="O8" s="16" t="s">
        <v>21</v>
      </c>
      <c r="S8" s="26">
        <v>2019</v>
      </c>
      <c r="T8" s="26"/>
      <c r="U8" s="26"/>
    </row>
    <row r="9" spans="1:21" x14ac:dyDescent="0.25">
      <c r="A9" s="27" t="s">
        <v>22</v>
      </c>
      <c r="B9" s="7">
        <v>1.25</v>
      </c>
      <c r="C9" s="7">
        <v>1.43</v>
      </c>
      <c r="D9" s="7">
        <v>1.4500000000000002</v>
      </c>
      <c r="E9" s="33">
        <f t="shared" ref="E9:E26" si="0">SUM(B9:D9)</f>
        <v>4.13</v>
      </c>
      <c r="F9" s="33">
        <f>E9/3</f>
        <v>1.3766666666666667</v>
      </c>
      <c r="H9" s="29"/>
      <c r="I9" s="29"/>
      <c r="J9" s="29" t="s">
        <v>23</v>
      </c>
      <c r="K9" s="29"/>
      <c r="L9" s="29"/>
      <c r="M9" s="29"/>
      <c r="N9" s="29"/>
      <c r="O9" s="30">
        <v>1</v>
      </c>
      <c r="P9" s="33">
        <f>SUM(F9:F17)/9</f>
        <v>1.6114814814814813</v>
      </c>
      <c r="Q9" s="31">
        <f>RANK(P9,P$9:P$10,0)</f>
        <v>1</v>
      </c>
      <c r="S9" s="26">
        <f>P9*1835</f>
        <v>2957.068518518518</v>
      </c>
      <c r="T9" s="26"/>
      <c r="U9" s="26"/>
    </row>
    <row r="10" spans="1:21" x14ac:dyDescent="0.25">
      <c r="A10" s="27" t="s">
        <v>24</v>
      </c>
      <c r="B10" s="7">
        <v>1.45</v>
      </c>
      <c r="C10" s="7">
        <v>1.78</v>
      </c>
      <c r="D10" s="7">
        <v>1.74</v>
      </c>
      <c r="E10" s="33">
        <f t="shared" si="0"/>
        <v>4.97</v>
      </c>
      <c r="F10" s="33">
        <f t="shared" ref="F10:F26" si="1">E10/3</f>
        <v>1.6566666666666665</v>
      </c>
      <c r="G10" s="28"/>
      <c r="H10" s="25" t="s">
        <v>25</v>
      </c>
      <c r="I10" s="25" t="s">
        <v>26</v>
      </c>
      <c r="J10" s="25" t="s">
        <v>27</v>
      </c>
      <c r="K10" s="25" t="s">
        <v>28</v>
      </c>
      <c r="L10" s="25" t="s">
        <v>29</v>
      </c>
      <c r="M10" s="25" t="s">
        <v>30</v>
      </c>
      <c r="N10" s="32"/>
      <c r="O10" s="30">
        <v>2</v>
      </c>
      <c r="P10" s="33">
        <f>SUM(F18:F26)/9</f>
        <v>1.4488888888888889</v>
      </c>
      <c r="Q10" s="31">
        <f>RANK(P10,P$9:P$10,0)</f>
        <v>2</v>
      </c>
      <c r="S10" s="26">
        <f>P10*1835</f>
        <v>2658.7111111111112</v>
      </c>
      <c r="T10" s="26"/>
      <c r="U10" s="26"/>
    </row>
    <row r="11" spans="1:21" x14ac:dyDescent="0.25">
      <c r="A11" s="27" t="s">
        <v>31</v>
      </c>
      <c r="B11" s="7">
        <v>1.7200000000000002</v>
      </c>
      <c r="C11" s="7">
        <v>1.6400000000000001</v>
      </c>
      <c r="D11" s="7">
        <v>1.6900000000000002</v>
      </c>
      <c r="E11" s="33">
        <f t="shared" si="0"/>
        <v>5.0500000000000007</v>
      </c>
      <c r="F11" s="33">
        <f t="shared" si="1"/>
        <v>1.6833333333333336</v>
      </c>
      <c r="G11" s="28" t="s">
        <v>32</v>
      </c>
      <c r="H11" s="28">
        <f>B7-1</f>
        <v>2</v>
      </c>
      <c r="I11" s="28">
        <f>D30</f>
        <v>0.10907037037038947</v>
      </c>
      <c r="J11" s="28">
        <f>I11/H11</f>
        <v>5.4535185185194734E-2</v>
      </c>
      <c r="K11" s="28">
        <f>J11/$J$16</f>
        <v>3.5295863620026426</v>
      </c>
      <c r="L11" s="28">
        <f>FINV(0.05,H11,$H$16)</f>
        <v>3.275897990672394</v>
      </c>
      <c r="M11" s="28" t="str">
        <f>IF(K11&gt;=L11, "S", "NS")</f>
        <v>S</v>
      </c>
      <c r="N11" s="21"/>
      <c r="O11" s="25" t="s">
        <v>33</v>
      </c>
      <c r="P11" s="33">
        <f>SQRT(J16/(3*9))</f>
        <v>2.3921841453099214E-2</v>
      </c>
      <c r="S11" s="26"/>
      <c r="T11" s="26"/>
      <c r="U11" s="26"/>
    </row>
    <row r="12" spans="1:21" x14ac:dyDescent="0.25">
      <c r="A12" s="27" t="s">
        <v>34</v>
      </c>
      <c r="B12" s="7">
        <v>1.51</v>
      </c>
      <c r="C12" s="7">
        <v>1.63</v>
      </c>
      <c r="D12" s="7">
        <v>1.55</v>
      </c>
      <c r="E12" s="33">
        <f t="shared" si="0"/>
        <v>4.6899999999999995</v>
      </c>
      <c r="F12" s="33">
        <f t="shared" si="1"/>
        <v>1.5633333333333332</v>
      </c>
      <c r="G12" s="28" t="s">
        <v>35</v>
      </c>
      <c r="H12" s="28">
        <f>D6-1</f>
        <v>17</v>
      </c>
      <c r="I12" s="28">
        <f>B31</f>
        <v>0.98589814814815213</v>
      </c>
      <c r="J12" s="28">
        <f t="shared" ref="J12:J16" si="2">I12/H12</f>
        <v>5.7994008714597187E-2</v>
      </c>
      <c r="K12" s="28">
        <f>J12/$J$16</f>
        <v>3.7534458082756341</v>
      </c>
      <c r="L12" s="28">
        <f>FINV(0.05,H12,$H$16)</f>
        <v>1.9332068318040869</v>
      </c>
      <c r="M12" s="34" t="str">
        <f t="shared" ref="M12:M15" si="3">IF(K12&gt;=L12, "S", "NS")</f>
        <v>S</v>
      </c>
      <c r="N12" s="25" t="s">
        <v>36</v>
      </c>
      <c r="O12" s="25" t="s">
        <v>37</v>
      </c>
      <c r="P12" s="33">
        <f>SQRT((2*J16)/(3*9))*L17</f>
        <v>6.8752036098780334E-2</v>
      </c>
      <c r="S12" s="26"/>
      <c r="T12" s="26"/>
      <c r="U12" s="26"/>
    </row>
    <row r="13" spans="1:21" x14ac:dyDescent="0.25">
      <c r="A13" s="27" t="s">
        <v>38</v>
      </c>
      <c r="B13" s="7">
        <v>1.7000000000000002</v>
      </c>
      <c r="C13" s="7">
        <v>1.44</v>
      </c>
      <c r="D13" s="7">
        <v>1.75</v>
      </c>
      <c r="E13" s="33">
        <f t="shared" si="0"/>
        <v>4.8900000000000006</v>
      </c>
      <c r="F13" s="33">
        <f t="shared" si="1"/>
        <v>1.6300000000000001</v>
      </c>
      <c r="G13" s="28" t="s">
        <v>39</v>
      </c>
      <c r="H13" s="28">
        <f>B5-1</f>
        <v>1</v>
      </c>
      <c r="I13" s="28">
        <f>(SUM(E9:E17)^2+SUM(E18:E26)^2)/27-B29</f>
        <v>0.35689074074076643</v>
      </c>
      <c r="J13" s="28">
        <f t="shared" si="2"/>
        <v>0.35689074074076643</v>
      </c>
      <c r="K13" s="28">
        <f>J13/$J$16</f>
        <v>23.098421449673715</v>
      </c>
      <c r="L13" s="28">
        <f>FINV(0.05,H13,$H$16)</f>
        <v>4.1300177456520188</v>
      </c>
      <c r="M13" s="28" t="str">
        <f>IF(K13&gt;=L13, "S", "NS")</f>
        <v>S</v>
      </c>
      <c r="N13" s="21"/>
      <c r="O13" s="30">
        <v>1</v>
      </c>
      <c r="P13" s="33">
        <f>(F9+F18)/2</f>
        <v>1.3333333333333335</v>
      </c>
      <c r="Q13" s="31">
        <f>RANK(P13,P$13:P$21,0)</f>
        <v>9</v>
      </c>
      <c r="R13" s="35">
        <v>9</v>
      </c>
      <c r="S13" s="36">
        <f>P13*1835</f>
        <v>2446.666666666667</v>
      </c>
      <c r="T13" s="36"/>
      <c r="U13" s="36"/>
    </row>
    <row r="14" spans="1:21" x14ac:dyDescent="0.25">
      <c r="A14" s="27" t="s">
        <v>40</v>
      </c>
      <c r="B14" s="7">
        <v>1.81</v>
      </c>
      <c r="C14" s="7">
        <v>1.7</v>
      </c>
      <c r="D14" s="7">
        <v>1.9</v>
      </c>
      <c r="E14" s="33">
        <f t="shared" si="0"/>
        <v>5.41</v>
      </c>
      <c r="F14" s="33">
        <f t="shared" si="1"/>
        <v>1.8033333333333335</v>
      </c>
      <c r="G14" s="28" t="s">
        <v>41</v>
      </c>
      <c r="H14" s="28">
        <f>B6-1</f>
        <v>8</v>
      </c>
      <c r="I14" s="28">
        <f>((E9+E18)^2+(E10+E19)^2+(E11+E20)^2+(E12+E21)^2+(E13+E22)^2+(E14+E23)^2+(E15+E24)^2+(E16+E25)^2+(E17+E26)^2/6)-B29</f>
        <v>573.78096481481475</v>
      </c>
      <c r="J14" s="28">
        <f t="shared" si="2"/>
        <v>71.722620601851844</v>
      </c>
      <c r="K14" s="28">
        <f>J14/$J$16</f>
        <v>4641.9789840946905</v>
      </c>
      <c r="L14" s="28">
        <f>FINV(0.05,H14,$H$16)</f>
        <v>2.2253399674380931</v>
      </c>
      <c r="M14" s="28" t="str">
        <f>IF(K14&gt;=L14, "S", "NS")</f>
        <v>S</v>
      </c>
      <c r="N14" s="21"/>
      <c r="O14" s="30">
        <v>2</v>
      </c>
      <c r="P14" s="33">
        <f t="shared" ref="P14:P21" si="4">(F10+F19)/2</f>
        <v>1.6149999999999998</v>
      </c>
      <c r="Q14" s="31">
        <f t="shared" ref="Q14:Q21" si="5">RANK(P14,P$13:P$21,0)</f>
        <v>2</v>
      </c>
      <c r="R14" s="37">
        <v>5</v>
      </c>
      <c r="S14" s="36">
        <f t="shared" ref="S14:S21" si="6">P14*1835</f>
        <v>2963.5249999999996</v>
      </c>
      <c r="T14" s="26"/>
      <c r="U14" s="26"/>
    </row>
    <row r="15" spans="1:21" x14ac:dyDescent="0.25">
      <c r="A15" s="27" t="s">
        <v>42</v>
      </c>
      <c r="B15" s="7">
        <v>1.59</v>
      </c>
      <c r="C15" s="7">
        <v>1.62</v>
      </c>
      <c r="D15" s="7">
        <v>1.6400000000000001</v>
      </c>
      <c r="E15" s="33">
        <f t="shared" si="0"/>
        <v>4.8499999999999996</v>
      </c>
      <c r="F15" s="33">
        <f t="shared" si="1"/>
        <v>1.6166666666666665</v>
      </c>
      <c r="G15" s="38" t="s">
        <v>43</v>
      </c>
      <c r="H15" s="28">
        <f>H13*H14</f>
        <v>8</v>
      </c>
      <c r="I15" s="28">
        <f>I12-(I13+I14)</f>
        <v>-573.15195740740728</v>
      </c>
      <c r="J15" s="28">
        <f t="shared" si="2"/>
        <v>-71.64399467592591</v>
      </c>
      <c r="K15" s="39">
        <f>J15/$J$16</f>
        <v>-4636.8902144333133</v>
      </c>
      <c r="L15" s="28">
        <f>FINV(0.05,H15,$H$16)</f>
        <v>2.2253399674380931</v>
      </c>
      <c r="M15" s="28" t="str">
        <f t="shared" si="3"/>
        <v>NS</v>
      </c>
      <c r="N15" s="21"/>
      <c r="O15" s="30">
        <v>3</v>
      </c>
      <c r="P15" s="33">
        <f t="shared" si="4"/>
        <v>1.5900000000000003</v>
      </c>
      <c r="Q15" s="31">
        <f t="shared" si="5"/>
        <v>3</v>
      </c>
      <c r="R15" s="37">
        <v>2</v>
      </c>
      <c r="S15" s="36">
        <f t="shared" si="6"/>
        <v>2917.6500000000005</v>
      </c>
      <c r="T15" s="26"/>
      <c r="U15" s="26"/>
    </row>
    <row r="16" spans="1:21" x14ac:dyDescent="0.25">
      <c r="A16" s="27" t="s">
        <v>44</v>
      </c>
      <c r="B16" s="7">
        <v>1.58</v>
      </c>
      <c r="C16" s="7">
        <v>1.67</v>
      </c>
      <c r="D16" s="7">
        <v>1.6800000000000002</v>
      </c>
      <c r="E16" s="33">
        <f t="shared" si="0"/>
        <v>4.93</v>
      </c>
      <c r="F16" s="33">
        <f t="shared" si="1"/>
        <v>1.6433333333333333</v>
      </c>
      <c r="G16" s="40" t="s">
        <v>45</v>
      </c>
      <c r="H16" s="28">
        <f>((B7-1)*(B5*B6-1))</f>
        <v>34</v>
      </c>
      <c r="I16" s="28">
        <f>D31</f>
        <v>0.52532962962962415</v>
      </c>
      <c r="J16" s="28">
        <f t="shared" si="2"/>
        <v>1.5450871459694829E-2</v>
      </c>
      <c r="O16" s="30">
        <v>4</v>
      </c>
      <c r="P16" s="33">
        <f t="shared" si="4"/>
        <v>1.4683333333333333</v>
      </c>
      <c r="Q16" s="31">
        <f t="shared" si="5"/>
        <v>7</v>
      </c>
      <c r="R16" s="37">
        <v>7</v>
      </c>
      <c r="S16" s="36">
        <f t="shared" si="6"/>
        <v>2694.3916666666664</v>
      </c>
      <c r="T16" s="26"/>
      <c r="U16" s="26"/>
    </row>
    <row r="17" spans="1:21" x14ac:dyDescent="0.25">
      <c r="A17" s="27" t="s">
        <v>46</v>
      </c>
      <c r="B17" s="7">
        <v>1.55</v>
      </c>
      <c r="C17" s="7">
        <v>1.32</v>
      </c>
      <c r="D17" s="7">
        <v>1.72</v>
      </c>
      <c r="E17" s="33">
        <f t="shared" si="0"/>
        <v>4.59</v>
      </c>
      <c r="F17" s="33">
        <f t="shared" si="1"/>
        <v>1.53</v>
      </c>
      <c r="G17" s="39" t="s">
        <v>20</v>
      </c>
      <c r="H17" s="28">
        <f>SUM(H11:H16)-H12</f>
        <v>53</v>
      </c>
      <c r="I17" s="28">
        <f>B30</f>
        <v>1.6202981481481658</v>
      </c>
      <c r="K17" s="28" t="s">
        <v>47</v>
      </c>
      <c r="L17" s="16">
        <f>TINV(0.05,34)</f>
        <v>2.0322445093177191</v>
      </c>
      <c r="O17" s="30">
        <v>5</v>
      </c>
      <c r="P17" s="33">
        <f t="shared" si="4"/>
        <v>1.5883333333333334</v>
      </c>
      <c r="Q17" s="31">
        <f t="shared" si="5"/>
        <v>4</v>
      </c>
      <c r="R17" s="35">
        <v>3</v>
      </c>
      <c r="S17" s="36">
        <f t="shared" si="6"/>
        <v>2914.5916666666667</v>
      </c>
      <c r="T17" s="41"/>
      <c r="U17" s="41"/>
    </row>
    <row r="18" spans="1:21" x14ac:dyDescent="0.25">
      <c r="A18" s="27" t="s">
        <v>48</v>
      </c>
      <c r="B18" s="7">
        <v>1.23</v>
      </c>
      <c r="C18" s="7">
        <v>1.3</v>
      </c>
      <c r="D18" s="7">
        <v>1.34</v>
      </c>
      <c r="E18" s="33">
        <f t="shared" si="0"/>
        <v>3.87</v>
      </c>
      <c r="F18" s="33">
        <f t="shared" si="1"/>
        <v>1.29</v>
      </c>
      <c r="G18" s="42" t="s">
        <v>33</v>
      </c>
      <c r="H18" s="28">
        <f>SQRT(J16/3)</f>
        <v>7.1765524359297644E-2</v>
      </c>
      <c r="O18" s="30">
        <v>6</v>
      </c>
      <c r="P18" s="33">
        <f t="shared" si="4"/>
        <v>1.7050000000000001</v>
      </c>
      <c r="Q18" s="31">
        <f t="shared" si="5"/>
        <v>1</v>
      </c>
      <c r="R18" s="37">
        <v>1</v>
      </c>
      <c r="S18" s="36">
        <f t="shared" si="6"/>
        <v>3128.6750000000002</v>
      </c>
      <c r="T18" s="41"/>
      <c r="U18" s="41"/>
    </row>
    <row r="19" spans="1:21" x14ac:dyDescent="0.25">
      <c r="A19" s="27" t="s">
        <v>49</v>
      </c>
      <c r="B19" s="7">
        <v>1.39</v>
      </c>
      <c r="C19" s="7">
        <v>1.46</v>
      </c>
      <c r="D19" s="7">
        <v>1.8699999999999999</v>
      </c>
      <c r="E19" s="33">
        <f t="shared" si="0"/>
        <v>4.72</v>
      </c>
      <c r="F19" s="33">
        <f t="shared" si="1"/>
        <v>1.5733333333333333</v>
      </c>
      <c r="G19" s="42" t="s">
        <v>37</v>
      </c>
      <c r="H19" s="28">
        <f>(SQRT((2*J16)/3))*L17</f>
        <v>0.206256108296341</v>
      </c>
      <c r="O19" s="30">
        <v>7</v>
      </c>
      <c r="P19" s="33">
        <f t="shared" si="4"/>
        <v>1.4949999999999999</v>
      </c>
      <c r="Q19" s="31">
        <f t="shared" si="5"/>
        <v>6</v>
      </c>
      <c r="R19" s="37">
        <v>6</v>
      </c>
      <c r="S19" s="36">
        <f t="shared" si="6"/>
        <v>2743.3249999999998</v>
      </c>
      <c r="T19" s="41"/>
      <c r="U19" s="41"/>
    </row>
    <row r="20" spans="1:21" x14ac:dyDescent="0.25">
      <c r="A20" s="27" t="s">
        <v>50</v>
      </c>
      <c r="B20" s="7">
        <v>1.48</v>
      </c>
      <c r="C20" s="7">
        <v>1.69</v>
      </c>
      <c r="D20" s="7">
        <v>1.32</v>
      </c>
      <c r="E20" s="33">
        <f t="shared" si="0"/>
        <v>4.49</v>
      </c>
      <c r="F20" s="33">
        <f t="shared" si="1"/>
        <v>1.4966666666666668</v>
      </c>
      <c r="G20" s="42" t="s">
        <v>51</v>
      </c>
      <c r="H20" s="28">
        <f>((SQRT(J16))/F27)*100</f>
        <v>8.1233000832564137</v>
      </c>
      <c r="O20" s="30">
        <v>8</v>
      </c>
      <c r="P20" s="33">
        <f t="shared" si="4"/>
        <v>1.54</v>
      </c>
      <c r="Q20" s="31">
        <f t="shared" si="5"/>
        <v>5</v>
      </c>
      <c r="R20" s="35">
        <v>4</v>
      </c>
      <c r="S20" s="36">
        <f t="shared" si="6"/>
        <v>2825.9</v>
      </c>
      <c r="T20" s="41"/>
      <c r="U20" s="41"/>
    </row>
    <row r="21" spans="1:21" x14ac:dyDescent="0.25">
      <c r="A21" s="27" t="s">
        <v>52</v>
      </c>
      <c r="B21" s="7">
        <v>1.23</v>
      </c>
      <c r="C21" s="7">
        <v>1.56</v>
      </c>
      <c r="D21" s="7">
        <v>1.33</v>
      </c>
      <c r="E21" s="33">
        <f t="shared" si="0"/>
        <v>4.12</v>
      </c>
      <c r="F21" s="33">
        <f t="shared" si="1"/>
        <v>1.3733333333333333</v>
      </c>
      <c r="O21" s="30">
        <v>9</v>
      </c>
      <c r="P21" s="33">
        <f t="shared" si="4"/>
        <v>1.4366666666666668</v>
      </c>
      <c r="Q21" s="31">
        <f t="shared" si="5"/>
        <v>8</v>
      </c>
      <c r="R21" s="37">
        <v>8</v>
      </c>
      <c r="S21" s="36">
        <f t="shared" si="6"/>
        <v>2636.2833333333333</v>
      </c>
      <c r="T21" s="41"/>
      <c r="U21" s="41"/>
    </row>
    <row r="22" spans="1:21" x14ac:dyDescent="0.25">
      <c r="A22" s="27" t="s">
        <v>53</v>
      </c>
      <c r="B22" s="7">
        <v>1.49</v>
      </c>
      <c r="C22" s="7">
        <v>1.52</v>
      </c>
      <c r="D22" s="7">
        <v>1.63</v>
      </c>
      <c r="E22" s="33">
        <f t="shared" si="0"/>
        <v>4.6399999999999997</v>
      </c>
      <c r="F22" s="33">
        <f t="shared" si="1"/>
        <v>1.5466666666666666</v>
      </c>
      <c r="H22" s="16" t="s">
        <v>54</v>
      </c>
      <c r="O22" s="25" t="s">
        <v>33</v>
      </c>
      <c r="P22" s="33">
        <f>SQRT(J16/(3*2))</f>
        <v>5.074588892986772E-2</v>
      </c>
      <c r="Q22" s="31"/>
      <c r="S22" s="41"/>
      <c r="T22" s="41"/>
      <c r="U22" s="41"/>
    </row>
    <row r="23" spans="1:21" x14ac:dyDescent="0.25">
      <c r="A23" s="27" t="s">
        <v>55</v>
      </c>
      <c r="B23" s="7">
        <v>1.64</v>
      </c>
      <c r="C23" s="7">
        <v>1.6099999999999999</v>
      </c>
      <c r="D23" s="7">
        <v>1.57</v>
      </c>
      <c r="E23" s="33">
        <f t="shared" si="0"/>
        <v>4.82</v>
      </c>
      <c r="F23" s="33">
        <f t="shared" si="1"/>
        <v>1.6066666666666667</v>
      </c>
      <c r="G23" s="43">
        <v>1</v>
      </c>
      <c r="H23" s="16">
        <f>F9-F18</f>
        <v>8.666666666666667E-2</v>
      </c>
      <c r="I23" s="46">
        <f>B9+0.03</f>
        <v>1.28</v>
      </c>
      <c r="J23" s="46">
        <f t="shared" ref="J23:K23" si="7">C9+0.03</f>
        <v>1.46</v>
      </c>
      <c r="K23" s="46">
        <f t="shared" si="7"/>
        <v>1.4800000000000002</v>
      </c>
      <c r="N23" s="25" t="s">
        <v>41</v>
      </c>
      <c r="O23" s="25" t="s">
        <v>37</v>
      </c>
      <c r="P23" s="33">
        <f>SQRT((2*J16)/(3*2))*L17</f>
        <v>0.14584509283748964</v>
      </c>
      <c r="Q23" s="31"/>
      <c r="S23" s="41"/>
      <c r="T23" s="41"/>
      <c r="U23" s="41"/>
    </row>
    <row r="24" spans="1:21" x14ac:dyDescent="0.25">
      <c r="A24" s="27" t="s">
        <v>56</v>
      </c>
      <c r="B24" s="7">
        <v>1.26</v>
      </c>
      <c r="C24" s="7">
        <v>1.49</v>
      </c>
      <c r="D24" s="7">
        <v>1.3699999999999999</v>
      </c>
      <c r="E24" s="33">
        <f t="shared" si="0"/>
        <v>4.12</v>
      </c>
      <c r="F24" s="33">
        <f>E24/3</f>
        <v>1.3733333333333333</v>
      </c>
      <c r="G24" s="43">
        <v>2</v>
      </c>
      <c r="H24" s="16">
        <f t="shared" ref="H24:H31" si="8">F10-F19</f>
        <v>8.3333333333333259E-2</v>
      </c>
      <c r="I24" s="46">
        <f t="shared" ref="I24:I31" si="9">B10+0.03</f>
        <v>1.48</v>
      </c>
      <c r="J24" s="46">
        <f t="shared" ref="J24:J31" si="10">C10+0.03</f>
        <v>1.81</v>
      </c>
      <c r="K24" s="46">
        <f t="shared" ref="K24:K31" si="11">D10+0.03</f>
        <v>1.77</v>
      </c>
      <c r="Q24" s="31"/>
      <c r="S24" s="41"/>
      <c r="T24" s="41"/>
      <c r="U24" s="41"/>
    </row>
    <row r="25" spans="1:21" x14ac:dyDescent="0.25">
      <c r="A25" s="27" t="s">
        <v>57</v>
      </c>
      <c r="B25" s="7">
        <v>1.46</v>
      </c>
      <c r="C25" s="7">
        <v>1.3</v>
      </c>
      <c r="D25" s="7">
        <v>1.55</v>
      </c>
      <c r="E25" s="33">
        <f t="shared" si="0"/>
        <v>4.3099999999999996</v>
      </c>
      <c r="F25" s="33">
        <f t="shared" si="1"/>
        <v>1.4366666666666665</v>
      </c>
      <c r="G25" s="43">
        <v>3</v>
      </c>
      <c r="H25" s="16">
        <f t="shared" si="8"/>
        <v>0.18666666666666676</v>
      </c>
      <c r="I25" s="46">
        <f t="shared" si="9"/>
        <v>1.7500000000000002</v>
      </c>
      <c r="J25" s="46">
        <f t="shared" si="10"/>
        <v>1.6700000000000002</v>
      </c>
      <c r="K25" s="46">
        <f t="shared" si="11"/>
        <v>1.7200000000000002</v>
      </c>
      <c r="S25" s="41"/>
      <c r="T25" s="41"/>
      <c r="U25" s="41"/>
    </row>
    <row r="26" spans="1:21" x14ac:dyDescent="0.25">
      <c r="A26" s="27" t="s">
        <v>58</v>
      </c>
      <c r="B26" s="7">
        <v>1.28</v>
      </c>
      <c r="C26" s="7">
        <v>1.26</v>
      </c>
      <c r="D26" s="7">
        <v>1.49</v>
      </c>
      <c r="E26" s="33">
        <f t="shared" si="0"/>
        <v>4.03</v>
      </c>
      <c r="F26" s="33">
        <f t="shared" si="1"/>
        <v>1.3433333333333335</v>
      </c>
      <c r="G26" s="43">
        <v>4</v>
      </c>
      <c r="H26" s="16">
        <f t="shared" si="8"/>
        <v>0.18999999999999995</v>
      </c>
      <c r="I26" s="46">
        <f t="shared" si="9"/>
        <v>1.54</v>
      </c>
      <c r="J26" s="46">
        <f t="shared" si="10"/>
        <v>1.66</v>
      </c>
      <c r="K26" s="46">
        <f t="shared" si="11"/>
        <v>1.58</v>
      </c>
    </row>
    <row r="27" spans="1:21" x14ac:dyDescent="0.25">
      <c r="A27" s="25" t="s">
        <v>20</v>
      </c>
      <c r="B27" s="28">
        <f>SUM(B9:B26)</f>
        <v>26.620000000000005</v>
      </c>
      <c r="C27" s="28">
        <f>SUM(C9:C26)</f>
        <v>27.419999999999998</v>
      </c>
      <c r="D27" s="28">
        <f>SUM(D9:D26)</f>
        <v>28.590000000000003</v>
      </c>
      <c r="E27" s="28">
        <f>SUM(E9:E26)</f>
        <v>82.63</v>
      </c>
      <c r="F27" s="28">
        <f>AVERAGE(B9:D26)</f>
        <v>1.5301851851851846</v>
      </c>
      <c r="G27" s="43">
        <v>5</v>
      </c>
      <c r="H27" s="16">
        <f t="shared" si="8"/>
        <v>8.3333333333333481E-2</v>
      </c>
      <c r="I27" s="46">
        <f t="shared" si="9"/>
        <v>1.7300000000000002</v>
      </c>
      <c r="J27" s="46">
        <f t="shared" si="10"/>
        <v>1.47</v>
      </c>
      <c r="K27" s="46">
        <f t="shared" si="11"/>
        <v>1.78</v>
      </c>
    </row>
    <row r="28" spans="1:21" x14ac:dyDescent="0.25">
      <c r="A28" s="25" t="s">
        <v>11</v>
      </c>
      <c r="B28" s="28">
        <f>B27/18</f>
        <v>1.4788888888888891</v>
      </c>
      <c r="C28" s="28">
        <f>C27/18</f>
        <v>1.5233333333333332</v>
      </c>
      <c r="D28" s="28">
        <f>D27/18</f>
        <v>1.5883333333333336</v>
      </c>
      <c r="G28" s="43">
        <v>6</v>
      </c>
      <c r="H28" s="16">
        <f t="shared" si="8"/>
        <v>0.19666666666666677</v>
      </c>
      <c r="I28" s="46">
        <f t="shared" si="9"/>
        <v>1.84</v>
      </c>
      <c r="J28" s="46">
        <f t="shared" si="10"/>
        <v>1.73</v>
      </c>
      <c r="K28" s="46">
        <f t="shared" si="11"/>
        <v>1.93</v>
      </c>
    </row>
    <row r="29" spans="1:21" x14ac:dyDescent="0.25">
      <c r="A29" s="25" t="s">
        <v>59</v>
      </c>
      <c r="B29" s="28">
        <f>(E27*E27)/54</f>
        <v>126.43920185185185</v>
      </c>
      <c r="C29" s="28"/>
      <c r="D29" s="28"/>
      <c r="G29" s="43">
        <v>7</v>
      </c>
      <c r="H29" s="16">
        <f t="shared" si="8"/>
        <v>0.24333333333333318</v>
      </c>
      <c r="I29" s="46">
        <f t="shared" si="9"/>
        <v>1.62</v>
      </c>
      <c r="J29" s="46">
        <f t="shared" si="10"/>
        <v>1.6500000000000001</v>
      </c>
      <c r="K29" s="46">
        <f t="shared" si="11"/>
        <v>1.6700000000000002</v>
      </c>
    </row>
    <row r="30" spans="1:21" x14ac:dyDescent="0.25">
      <c r="A30" s="25" t="s">
        <v>60</v>
      </c>
      <c r="B30" s="28">
        <f>SUMSQ(B9:D26)-B29</f>
        <v>1.6202981481481658</v>
      </c>
      <c r="C30" s="25" t="s">
        <v>61</v>
      </c>
      <c r="D30" s="28">
        <f>(SUMSQ(B27:D27)/18)-B29</f>
        <v>0.10907037037038947</v>
      </c>
      <c r="G30" s="43">
        <v>8</v>
      </c>
      <c r="H30" s="16">
        <f t="shared" si="8"/>
        <v>0.20666666666666678</v>
      </c>
      <c r="I30" s="46">
        <f t="shared" si="9"/>
        <v>1.61</v>
      </c>
      <c r="J30" s="46">
        <f t="shared" si="10"/>
        <v>1.7</v>
      </c>
      <c r="K30" s="46">
        <f t="shared" si="11"/>
        <v>1.7100000000000002</v>
      </c>
    </row>
    <row r="31" spans="1:21" x14ac:dyDescent="0.25">
      <c r="A31" s="25" t="s">
        <v>62</v>
      </c>
      <c r="B31" s="28">
        <f>(SUMSQ(E9:E26)/3)-B29</f>
        <v>0.98589814814815213</v>
      </c>
      <c r="C31" s="25" t="s">
        <v>63</v>
      </c>
      <c r="D31" s="28">
        <f>B30-B31-D30</f>
        <v>0.52532962962962415</v>
      </c>
      <c r="G31" s="43">
        <v>9</v>
      </c>
      <c r="H31" s="16">
        <f t="shared" si="8"/>
        <v>0.18666666666666654</v>
      </c>
      <c r="I31" s="46">
        <f t="shared" si="9"/>
        <v>1.58</v>
      </c>
      <c r="J31" s="46">
        <f t="shared" si="10"/>
        <v>1.35</v>
      </c>
      <c r="K31" s="46">
        <f t="shared" si="11"/>
        <v>1.75</v>
      </c>
    </row>
    <row r="32" spans="1:21" x14ac:dyDescent="0.25">
      <c r="I32" s="46">
        <f>B18-0.02</f>
        <v>1.21</v>
      </c>
      <c r="J32" s="46">
        <f t="shared" ref="J32:K32" si="12">C18-0.02</f>
        <v>1.28</v>
      </c>
      <c r="K32" s="46">
        <f t="shared" si="12"/>
        <v>1.32</v>
      </c>
    </row>
    <row r="33" spans="1:22" x14ac:dyDescent="0.25">
      <c r="I33" s="46">
        <f t="shared" ref="I33:I36" si="13">B19-0.02</f>
        <v>1.3699999999999999</v>
      </c>
      <c r="J33" s="46">
        <f t="shared" ref="J33:J36" si="14">C19-0.02</f>
        <v>1.44</v>
      </c>
      <c r="K33" s="46">
        <f t="shared" ref="K33:K36" si="15">D19-0.02</f>
        <v>1.8499999999999999</v>
      </c>
    </row>
    <row r="34" spans="1:22" x14ac:dyDescent="0.25">
      <c r="I34" s="46">
        <f t="shared" si="13"/>
        <v>1.46</v>
      </c>
      <c r="J34" s="46">
        <f t="shared" si="14"/>
        <v>1.67</v>
      </c>
      <c r="K34" s="46">
        <f t="shared" si="15"/>
        <v>1.3</v>
      </c>
    </row>
    <row r="35" spans="1:22" ht="15.75" x14ac:dyDescent="0.25">
      <c r="C35" s="18" t="s">
        <v>80</v>
      </c>
      <c r="I35" s="46">
        <f t="shared" si="13"/>
        <v>1.21</v>
      </c>
      <c r="J35" s="46">
        <f t="shared" si="14"/>
        <v>1.54</v>
      </c>
      <c r="K35" s="46">
        <f t="shared" si="15"/>
        <v>1.31</v>
      </c>
    </row>
    <row r="36" spans="1:22" x14ac:dyDescent="0.25">
      <c r="I36" s="46">
        <f t="shared" si="13"/>
        <v>1.47</v>
      </c>
      <c r="J36" s="46">
        <f t="shared" si="14"/>
        <v>1.5</v>
      </c>
      <c r="K36" s="46">
        <f t="shared" si="15"/>
        <v>1.6099999999999999</v>
      </c>
    </row>
    <row r="37" spans="1:22" x14ac:dyDescent="0.25">
      <c r="A37" s="19" t="s">
        <v>13</v>
      </c>
      <c r="B37" s="20">
        <v>2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22"/>
      <c r="O37" s="21"/>
      <c r="P37" s="21"/>
      <c r="T37" s="52">
        <v>1.51</v>
      </c>
      <c r="U37" s="52">
        <v>1.4800000000000002</v>
      </c>
      <c r="V37" s="52">
        <v>1.45</v>
      </c>
    </row>
    <row r="38" spans="1:22" x14ac:dyDescent="0.25">
      <c r="A38" s="19" t="s">
        <v>14</v>
      </c>
      <c r="B38" s="20">
        <v>9</v>
      </c>
      <c r="C38" s="21" t="s">
        <v>15</v>
      </c>
      <c r="D38" s="21">
        <v>18</v>
      </c>
      <c r="E38" s="21"/>
      <c r="F38" s="21"/>
      <c r="G38" s="21"/>
      <c r="H38" s="21"/>
      <c r="I38" s="21"/>
      <c r="J38" s="21"/>
      <c r="K38" s="21"/>
      <c r="L38" s="21"/>
      <c r="M38" s="22"/>
      <c r="N38" s="22"/>
      <c r="O38" s="21"/>
      <c r="P38" s="21"/>
      <c r="T38" s="52">
        <v>1.75</v>
      </c>
      <c r="U38" s="52">
        <v>1.7800000000000002</v>
      </c>
      <c r="V38" s="52">
        <v>1.74</v>
      </c>
    </row>
    <row r="39" spans="1:22" x14ac:dyDescent="0.25">
      <c r="A39" s="15" t="s">
        <v>16</v>
      </c>
      <c r="B39" s="23">
        <v>3</v>
      </c>
      <c r="T39" s="52">
        <v>1.78</v>
      </c>
      <c r="U39" s="52">
        <v>1.78</v>
      </c>
      <c r="V39" s="52">
        <v>1.7900000000000003</v>
      </c>
    </row>
    <row r="40" spans="1:22" x14ac:dyDescent="0.25">
      <c r="A40" s="24" t="s">
        <v>0</v>
      </c>
      <c r="B40" s="25" t="s">
        <v>17</v>
      </c>
      <c r="C40" s="25" t="s">
        <v>18</v>
      </c>
      <c r="D40" s="25" t="s">
        <v>19</v>
      </c>
      <c r="E40" s="25" t="s">
        <v>20</v>
      </c>
      <c r="F40" s="25" t="s">
        <v>11</v>
      </c>
      <c r="O40" s="16" t="s">
        <v>21</v>
      </c>
      <c r="R40" s="16"/>
      <c r="T40" s="52">
        <v>1.6600000000000001</v>
      </c>
      <c r="U40" s="52">
        <v>1.6800000000000002</v>
      </c>
      <c r="V40" s="52">
        <v>1.6500000000000001</v>
      </c>
    </row>
    <row r="41" spans="1:22" x14ac:dyDescent="0.25">
      <c r="A41" s="27" t="s">
        <v>22</v>
      </c>
      <c r="B41" s="45">
        <v>1.34</v>
      </c>
      <c r="C41" s="45">
        <v>1.4100000000000001</v>
      </c>
      <c r="D41" s="45">
        <v>1.4800000000000002</v>
      </c>
      <c r="E41" s="28">
        <f>SUM(B41:D41)</f>
        <v>4.2300000000000004</v>
      </c>
      <c r="F41" s="28">
        <f>E41/3</f>
        <v>1.4100000000000001</v>
      </c>
      <c r="H41" s="29"/>
      <c r="I41" s="29"/>
      <c r="J41" s="29" t="s">
        <v>23</v>
      </c>
      <c r="K41" s="29"/>
      <c r="L41" s="29"/>
      <c r="M41" s="29"/>
      <c r="N41" s="29"/>
      <c r="O41" s="30">
        <v>1</v>
      </c>
      <c r="P41" s="33">
        <f>SUM(F41:F49)/9</f>
        <v>1.6418518518518521</v>
      </c>
      <c r="Q41" s="31" t="e">
        <f>RANK(P41,P$105:P$106,0)</f>
        <v>#N/A</v>
      </c>
      <c r="R41" s="16"/>
      <c r="T41" s="52">
        <v>1.7</v>
      </c>
      <c r="U41" s="52">
        <v>1.7400000000000002</v>
      </c>
      <c r="V41" s="52">
        <v>1.75</v>
      </c>
    </row>
    <row r="42" spans="1:22" x14ac:dyDescent="0.25">
      <c r="A42" s="27" t="s">
        <v>24</v>
      </c>
      <c r="B42" s="45">
        <v>1.58</v>
      </c>
      <c r="C42" s="45">
        <v>1.7100000000000002</v>
      </c>
      <c r="D42" s="45">
        <v>1.77</v>
      </c>
      <c r="E42" s="28">
        <f t="shared" ref="E42:E58" si="16">SUM(B42:D42)</f>
        <v>5.0600000000000005</v>
      </c>
      <c r="F42" s="28">
        <f t="shared" ref="F42:F55" si="17">E42/3</f>
        <v>1.6866666666666668</v>
      </c>
      <c r="G42" s="28"/>
      <c r="H42" s="25" t="s">
        <v>25</v>
      </c>
      <c r="I42" s="25" t="s">
        <v>26</v>
      </c>
      <c r="J42" s="25" t="s">
        <v>27</v>
      </c>
      <c r="K42" s="25" t="s">
        <v>28</v>
      </c>
      <c r="L42" s="25" t="s">
        <v>29</v>
      </c>
      <c r="M42" s="25" t="s">
        <v>30</v>
      </c>
      <c r="N42" s="32"/>
      <c r="O42" s="30">
        <v>2</v>
      </c>
      <c r="P42" s="33">
        <f>SUM(F50:F58)/9</f>
        <v>1.4988888888888889</v>
      </c>
      <c r="Q42" s="31" t="e">
        <f>RANK(P42,P$105:P$106,0)</f>
        <v>#N/A</v>
      </c>
      <c r="R42" s="16"/>
      <c r="T42" s="52">
        <v>1.9100000000000001</v>
      </c>
      <c r="U42" s="52">
        <v>1.85</v>
      </c>
      <c r="V42" s="52">
        <v>1.9500000000000002</v>
      </c>
    </row>
    <row r="43" spans="1:22" x14ac:dyDescent="0.25">
      <c r="A43" s="27" t="s">
        <v>31</v>
      </c>
      <c r="B43" s="45">
        <v>1.7500000000000002</v>
      </c>
      <c r="C43" s="45">
        <v>1.6700000000000002</v>
      </c>
      <c r="D43" s="45">
        <v>1.7200000000000002</v>
      </c>
      <c r="E43" s="28">
        <f t="shared" si="16"/>
        <v>5.1400000000000006</v>
      </c>
      <c r="F43" s="28">
        <f t="shared" si="17"/>
        <v>1.7133333333333336</v>
      </c>
      <c r="G43" s="28" t="s">
        <v>32</v>
      </c>
      <c r="H43" s="28">
        <f>B39-1</f>
        <v>2</v>
      </c>
      <c r="I43" s="28">
        <f>D62</f>
        <v>2.1881481481472065E-2</v>
      </c>
      <c r="J43" s="28">
        <f>I43/H43</f>
        <v>1.0940740740736032E-2</v>
      </c>
      <c r="K43" s="28">
        <f>J43/$J$16</f>
        <v>0.70809861885629355</v>
      </c>
      <c r="L43" s="28">
        <f>FINV(0.05,H43,$H$16)</f>
        <v>3.275897990672394</v>
      </c>
      <c r="M43" s="28" t="str">
        <f>IF(K43&gt;=L43, "S", "NS")</f>
        <v>NS</v>
      </c>
      <c r="N43" s="21"/>
      <c r="O43" s="25" t="s">
        <v>33</v>
      </c>
      <c r="P43" s="33">
        <f>SQRT(J48/(3*9))</f>
        <v>1.5830386786435977E-2</v>
      </c>
      <c r="R43" s="16"/>
      <c r="T43" s="52">
        <v>1.6900000000000002</v>
      </c>
      <c r="U43" s="52">
        <v>1.7200000000000002</v>
      </c>
      <c r="V43" s="52">
        <v>1.7400000000000002</v>
      </c>
    </row>
    <row r="44" spans="1:22" x14ac:dyDescent="0.25">
      <c r="A44" s="27" t="s">
        <v>34</v>
      </c>
      <c r="B44" s="45">
        <v>1.59</v>
      </c>
      <c r="C44" s="45">
        <v>1.61</v>
      </c>
      <c r="D44" s="45">
        <v>1.58</v>
      </c>
      <c r="E44" s="28">
        <f t="shared" si="16"/>
        <v>4.78</v>
      </c>
      <c r="F44" s="28">
        <f t="shared" si="17"/>
        <v>1.5933333333333335</v>
      </c>
      <c r="G44" s="28" t="s">
        <v>35</v>
      </c>
      <c r="H44" s="28">
        <f>D38-1</f>
        <v>17</v>
      </c>
      <c r="I44" s="28">
        <f>B63</f>
        <v>0.90025925925922934</v>
      </c>
      <c r="J44" s="28">
        <f t="shared" ref="J44:J48" si="18">I44/H44</f>
        <v>5.2956427015248782E-2</v>
      </c>
      <c r="K44" s="28">
        <f>J44/$J$16</f>
        <v>3.4274071306198497</v>
      </c>
      <c r="L44" s="28">
        <f>FINV(0.05,H44,$H$16)</f>
        <v>1.9332068318040869</v>
      </c>
      <c r="M44" s="34" t="str">
        <f t="shared" ref="M44" si="19">IF(K44&gt;=L44, "S", "NS")</f>
        <v>S</v>
      </c>
      <c r="N44" s="25" t="s">
        <v>36</v>
      </c>
      <c r="O44" s="25" t="s">
        <v>37</v>
      </c>
      <c r="P44" s="33">
        <f>SQRT((2*J48)/(3*9))*L49</f>
        <v>4.549697087210218E-2</v>
      </c>
      <c r="R44" s="16"/>
      <c r="T44" s="52">
        <v>1.7800000000000002</v>
      </c>
      <c r="U44" s="52">
        <v>1.6700000000000002</v>
      </c>
      <c r="V44" s="52">
        <v>1.7800000000000002</v>
      </c>
    </row>
    <row r="45" spans="1:22" x14ac:dyDescent="0.25">
      <c r="A45" s="27" t="s">
        <v>38</v>
      </c>
      <c r="B45" s="45">
        <v>1.7300000000000002</v>
      </c>
      <c r="C45" s="45">
        <v>1.6700000000000002</v>
      </c>
      <c r="D45" s="45">
        <v>1.58</v>
      </c>
      <c r="E45" s="28">
        <f t="shared" si="16"/>
        <v>4.9800000000000004</v>
      </c>
      <c r="F45" s="28">
        <f t="shared" si="17"/>
        <v>1.6600000000000001</v>
      </c>
      <c r="G45" s="28" t="s">
        <v>39</v>
      </c>
      <c r="H45" s="28">
        <f>B37-1</f>
        <v>1</v>
      </c>
      <c r="I45" s="28">
        <f>(SUM(E41:E49)^2+SUM(E50:E58)^2)/27-B61</f>
        <v>0.27591851851849469</v>
      </c>
      <c r="J45" s="28">
        <f t="shared" si="18"/>
        <v>0.27591851851849469</v>
      </c>
      <c r="K45" s="28">
        <f>J45/$J$16</f>
        <v>17.85779651576652</v>
      </c>
      <c r="L45" s="28">
        <f>FINV(0.05,H45,$H$16)</f>
        <v>4.1300177456520188</v>
      </c>
      <c r="M45" s="28" t="str">
        <f>IF(K45&gt;=L45, "S", "NS")</f>
        <v>S</v>
      </c>
      <c r="N45" s="21"/>
      <c r="O45" s="30">
        <v>1</v>
      </c>
      <c r="P45" s="33">
        <f>(F41+F50)/2</f>
        <v>1.375</v>
      </c>
      <c r="Q45" s="31" t="e">
        <f>RANK(P45,P$109:P$117,0)</f>
        <v>#N/A</v>
      </c>
      <c r="R45" s="35">
        <v>9</v>
      </c>
      <c r="T45" s="52">
        <v>1.6500000000000001</v>
      </c>
      <c r="U45" s="52">
        <v>1.62</v>
      </c>
      <c r="V45" s="52">
        <v>1.62</v>
      </c>
    </row>
    <row r="46" spans="1:22" x14ac:dyDescent="0.25">
      <c r="A46" s="27" t="s">
        <v>40</v>
      </c>
      <c r="B46" s="45">
        <v>1.84</v>
      </c>
      <c r="C46" s="45">
        <v>1.78</v>
      </c>
      <c r="D46" s="45">
        <v>1.8800000000000001</v>
      </c>
      <c r="E46" s="28">
        <f t="shared" si="16"/>
        <v>5.5</v>
      </c>
      <c r="F46" s="28">
        <f t="shared" si="17"/>
        <v>1.8333333333333333</v>
      </c>
      <c r="G46" s="28" t="s">
        <v>41</v>
      </c>
      <c r="H46" s="28">
        <f>B38-1</f>
        <v>8</v>
      </c>
      <c r="I46" s="28">
        <f>((E41+E50)^2+(E42+E51)^2+(E43+E52)^2+(E44+E53)^2+(E45+E54)^2+(E46+E55)^2+(E47+E56)^2+(E48+E57)^2+(E49+E58)^2/6)-B61</f>
        <v>603.90245925925933</v>
      </c>
      <c r="J46" s="28">
        <f t="shared" si="18"/>
        <v>75.487807407407416</v>
      </c>
      <c r="K46" s="28">
        <f>J46/$J$16</f>
        <v>4885.6666502161415</v>
      </c>
      <c r="L46" s="28">
        <f>FINV(0.05,H46,$H$16)</f>
        <v>2.2253399674380931</v>
      </c>
      <c r="M46" s="28" t="str">
        <f>IF(K46&gt;=L46, "S", "NS")</f>
        <v>S</v>
      </c>
      <c r="N46" s="21"/>
      <c r="O46" s="30">
        <v>2</v>
      </c>
      <c r="P46" s="33">
        <f t="shared" ref="P46:P53" si="20">(F42+F51)/2</f>
        <v>1.655</v>
      </c>
      <c r="Q46" s="31" t="e">
        <f t="shared" ref="Q46:Q53" si="21">RANK(P46,P$109:P$117,0)</f>
        <v>#N/A</v>
      </c>
      <c r="R46" s="37">
        <v>5</v>
      </c>
      <c r="T46" s="52">
        <v>1.37</v>
      </c>
      <c r="U46" s="52">
        <v>1.3900000000000001</v>
      </c>
      <c r="V46" s="52">
        <v>1.3800000000000001</v>
      </c>
    </row>
    <row r="47" spans="1:22" x14ac:dyDescent="0.25">
      <c r="A47" s="27" t="s">
        <v>42</v>
      </c>
      <c r="B47" s="45">
        <v>1.62</v>
      </c>
      <c r="C47" s="45">
        <v>1.6500000000000001</v>
      </c>
      <c r="D47" s="45">
        <v>1.6700000000000002</v>
      </c>
      <c r="E47" s="28">
        <f t="shared" si="16"/>
        <v>4.9400000000000004</v>
      </c>
      <c r="F47" s="28">
        <f t="shared" si="17"/>
        <v>1.6466666666666667</v>
      </c>
      <c r="G47" s="38" t="s">
        <v>43</v>
      </c>
      <c r="H47" s="28">
        <f>H45*H46</f>
        <v>8</v>
      </c>
      <c r="I47" s="28">
        <f>I44-(I45+I46)</f>
        <v>-603.27811851851857</v>
      </c>
      <c r="J47" s="28">
        <f t="shared" si="18"/>
        <v>-75.409764814814821</v>
      </c>
      <c r="K47" s="39">
        <f>J47/$J$16</f>
        <v>-4880.615634628045</v>
      </c>
      <c r="L47" s="28">
        <f>FINV(0.05,H47,$H$16)</f>
        <v>2.2253399674380931</v>
      </c>
      <c r="M47" s="28" t="str">
        <f t="shared" ref="M47" si="22">IF(K47&gt;=L47, "S", "NS")</f>
        <v>NS</v>
      </c>
      <c r="N47" s="21"/>
      <c r="O47" s="30">
        <v>3</v>
      </c>
      <c r="P47" s="33">
        <f t="shared" si="20"/>
        <v>1.6300000000000001</v>
      </c>
      <c r="Q47" s="31" t="e">
        <f t="shared" si="21"/>
        <v>#N/A</v>
      </c>
      <c r="R47" s="37">
        <v>2</v>
      </c>
      <c r="T47" s="52">
        <v>1.68</v>
      </c>
      <c r="U47" s="52">
        <v>1.6</v>
      </c>
      <c r="V47" s="52">
        <v>1.7</v>
      </c>
    </row>
    <row r="48" spans="1:22" x14ac:dyDescent="0.25">
      <c r="A48" s="27" t="s">
        <v>44</v>
      </c>
      <c r="B48" s="45">
        <v>1.7100000000000002</v>
      </c>
      <c r="C48" s="45">
        <v>1.6</v>
      </c>
      <c r="D48" s="45">
        <v>1.7100000000000002</v>
      </c>
      <c r="E48" s="28">
        <f t="shared" si="16"/>
        <v>5.0200000000000005</v>
      </c>
      <c r="F48" s="28">
        <f t="shared" si="17"/>
        <v>1.6733333333333336</v>
      </c>
      <c r="G48" s="40" t="s">
        <v>45</v>
      </c>
      <c r="H48" s="28">
        <f>((B39-1)*(B37*B38-1))</f>
        <v>34</v>
      </c>
      <c r="I48" s="28">
        <f>D63</f>
        <v>0.23005185185189703</v>
      </c>
      <c r="J48" s="28">
        <f t="shared" si="18"/>
        <v>6.7662309368205012E-3</v>
      </c>
      <c r="O48" s="30">
        <v>4</v>
      </c>
      <c r="P48" s="33">
        <f t="shared" si="20"/>
        <v>1.5083333333333335</v>
      </c>
      <c r="Q48" s="31" t="e">
        <f t="shared" si="21"/>
        <v>#N/A</v>
      </c>
      <c r="R48" s="37">
        <v>7</v>
      </c>
      <c r="T48" s="52">
        <v>1.57</v>
      </c>
      <c r="U48" s="52">
        <v>1.6800000000000002</v>
      </c>
      <c r="V48" s="52">
        <v>1.51</v>
      </c>
    </row>
    <row r="49" spans="1:22" x14ac:dyDescent="0.25">
      <c r="A49" s="27" t="s">
        <v>46</v>
      </c>
      <c r="B49" s="45">
        <v>1.58</v>
      </c>
      <c r="C49" s="45">
        <v>1.55</v>
      </c>
      <c r="D49" s="45">
        <v>1.55</v>
      </c>
      <c r="E49" s="28">
        <f t="shared" si="16"/>
        <v>4.68</v>
      </c>
      <c r="F49" s="28">
        <f t="shared" si="17"/>
        <v>1.5599999999999998</v>
      </c>
      <c r="G49" s="39" t="s">
        <v>20</v>
      </c>
      <c r="H49" s="28">
        <f>SUM(H43:H48)-H44</f>
        <v>53</v>
      </c>
      <c r="I49" s="28">
        <f>B62</f>
        <v>1.1521925925925984</v>
      </c>
      <c r="K49" s="28" t="s">
        <v>47</v>
      </c>
      <c r="L49" s="16">
        <f>TINV(0.05,34)</f>
        <v>2.0322445093177191</v>
      </c>
      <c r="O49" s="30">
        <v>5</v>
      </c>
      <c r="P49" s="33">
        <f t="shared" si="20"/>
        <v>1.6283333333333334</v>
      </c>
      <c r="Q49" s="31" t="e">
        <f t="shared" si="21"/>
        <v>#N/A</v>
      </c>
      <c r="R49" s="35">
        <v>3</v>
      </c>
      <c r="T49" s="52">
        <v>1.4700000000000002</v>
      </c>
      <c r="U49" s="52">
        <v>1.5</v>
      </c>
      <c r="V49" s="52">
        <v>1.4200000000000002</v>
      </c>
    </row>
    <row r="50" spans="1:22" x14ac:dyDescent="0.25">
      <c r="A50" s="27" t="s">
        <v>48</v>
      </c>
      <c r="B50" s="45">
        <v>1.33</v>
      </c>
      <c r="C50" s="45">
        <v>1.35</v>
      </c>
      <c r="D50" s="45">
        <v>1.34</v>
      </c>
      <c r="E50" s="28">
        <f t="shared" si="16"/>
        <v>4.0200000000000005</v>
      </c>
      <c r="F50" s="28">
        <f t="shared" si="17"/>
        <v>1.34</v>
      </c>
      <c r="G50" s="42" t="s">
        <v>33</v>
      </c>
      <c r="H50" s="28">
        <f>SQRT(J48/3)</f>
        <v>4.7491160359307921E-2</v>
      </c>
      <c r="O50" s="30">
        <v>6</v>
      </c>
      <c r="P50" s="33">
        <f t="shared" si="20"/>
        <v>1.7449999999999999</v>
      </c>
      <c r="Q50" s="31" t="e">
        <f t="shared" si="21"/>
        <v>#N/A</v>
      </c>
      <c r="R50" s="37">
        <v>1</v>
      </c>
      <c r="T50" s="52">
        <v>1.58</v>
      </c>
      <c r="U50" s="52">
        <v>1.61</v>
      </c>
      <c r="V50" s="52">
        <v>1.72</v>
      </c>
    </row>
    <row r="51" spans="1:22" x14ac:dyDescent="0.25">
      <c r="A51" s="27" t="s">
        <v>49</v>
      </c>
      <c r="B51" s="45">
        <v>1.44</v>
      </c>
      <c r="C51" s="45">
        <v>1.51</v>
      </c>
      <c r="D51" s="45">
        <v>1.92</v>
      </c>
      <c r="E51" s="28">
        <f t="shared" si="16"/>
        <v>4.87</v>
      </c>
      <c r="F51" s="28">
        <f t="shared" si="17"/>
        <v>1.6233333333333333</v>
      </c>
      <c r="G51" s="42" t="s">
        <v>37</v>
      </c>
      <c r="H51" s="28">
        <f>(SQRT((2*J48)/3))*L49</f>
        <v>0.13649091261630653</v>
      </c>
      <c r="O51" s="30">
        <v>7</v>
      </c>
      <c r="P51" s="33">
        <f t="shared" si="20"/>
        <v>1.5349999999999999</v>
      </c>
      <c r="Q51" s="31" t="e">
        <f t="shared" si="21"/>
        <v>#N/A</v>
      </c>
      <c r="R51" s="37">
        <v>6</v>
      </c>
      <c r="T51" s="52">
        <v>1.73</v>
      </c>
      <c r="U51" s="52">
        <v>1.7</v>
      </c>
      <c r="V51" s="52">
        <v>1.6600000000000001</v>
      </c>
    </row>
    <row r="52" spans="1:22" x14ac:dyDescent="0.25">
      <c r="A52" s="27" t="s">
        <v>50</v>
      </c>
      <c r="B52" s="45">
        <v>1.53</v>
      </c>
      <c r="C52" s="45">
        <v>1.6400000000000001</v>
      </c>
      <c r="D52" s="45">
        <v>1.47</v>
      </c>
      <c r="E52" s="28">
        <f t="shared" si="16"/>
        <v>4.6399999999999997</v>
      </c>
      <c r="F52" s="28">
        <f t="shared" si="17"/>
        <v>1.5466666666666666</v>
      </c>
      <c r="G52" s="42" t="s">
        <v>51</v>
      </c>
      <c r="H52" s="28">
        <f>((SQRT(J48))/F59)*100</f>
        <v>5.2380702160931669</v>
      </c>
      <c r="O52" s="30">
        <v>8</v>
      </c>
      <c r="P52" s="33">
        <f t="shared" si="20"/>
        <v>1.58</v>
      </c>
      <c r="Q52" s="31" t="e">
        <f t="shared" si="21"/>
        <v>#N/A</v>
      </c>
      <c r="R52" s="35">
        <v>4</v>
      </c>
      <c r="T52" s="52">
        <v>1.45</v>
      </c>
      <c r="U52" s="52">
        <v>1.48</v>
      </c>
      <c r="V52" s="52">
        <v>1.46</v>
      </c>
    </row>
    <row r="53" spans="1:22" x14ac:dyDescent="0.25">
      <c r="A53" s="27" t="s">
        <v>52</v>
      </c>
      <c r="B53" s="45">
        <v>1.3800000000000001</v>
      </c>
      <c r="C53" s="45">
        <v>1.51</v>
      </c>
      <c r="D53" s="45">
        <v>1.3800000000000001</v>
      </c>
      <c r="E53" s="28">
        <f t="shared" si="16"/>
        <v>4.2700000000000005</v>
      </c>
      <c r="F53" s="28">
        <f t="shared" si="17"/>
        <v>1.4233333333333336</v>
      </c>
      <c r="O53" s="30">
        <v>9</v>
      </c>
      <c r="P53" s="33">
        <f t="shared" si="20"/>
        <v>1.4766666666666666</v>
      </c>
      <c r="Q53" s="31" t="e">
        <f t="shared" si="21"/>
        <v>#N/A</v>
      </c>
      <c r="R53" s="37">
        <v>8</v>
      </c>
      <c r="T53" s="52">
        <v>1.55</v>
      </c>
      <c r="U53" s="52">
        <v>1.5</v>
      </c>
      <c r="V53" s="52">
        <v>1.53</v>
      </c>
    </row>
    <row r="54" spans="1:22" x14ac:dyDescent="0.25">
      <c r="A54" s="27" t="s">
        <v>53</v>
      </c>
      <c r="B54" s="45">
        <v>1.54</v>
      </c>
      <c r="C54" s="45">
        <v>1.57</v>
      </c>
      <c r="D54" s="45">
        <v>1.68</v>
      </c>
      <c r="E54" s="28">
        <f t="shared" si="16"/>
        <v>4.79</v>
      </c>
      <c r="F54" s="28">
        <f t="shared" si="17"/>
        <v>1.5966666666666667</v>
      </c>
      <c r="H54" s="16" t="s">
        <v>54</v>
      </c>
      <c r="O54" s="25" t="s">
        <v>33</v>
      </c>
      <c r="P54" s="33">
        <f>SQRT(J48/(3*2))</f>
        <v>3.3581321536484389E-2</v>
      </c>
      <c r="Q54" s="31"/>
      <c r="T54" s="52">
        <v>1.37</v>
      </c>
      <c r="U54" s="52">
        <v>1.45</v>
      </c>
      <c r="V54" s="52">
        <v>1.48</v>
      </c>
    </row>
    <row r="55" spans="1:22" x14ac:dyDescent="0.25">
      <c r="A55" s="27" t="s">
        <v>55</v>
      </c>
      <c r="B55" s="45">
        <v>1.69</v>
      </c>
      <c r="C55" s="45">
        <v>1.66</v>
      </c>
      <c r="D55" s="45">
        <v>1.62</v>
      </c>
      <c r="E55" s="28">
        <f t="shared" si="16"/>
        <v>4.97</v>
      </c>
      <c r="F55" s="28">
        <f t="shared" si="17"/>
        <v>1.6566666666666665</v>
      </c>
      <c r="G55" s="43">
        <v>1</v>
      </c>
      <c r="H55" s="16">
        <f>F41-F50</f>
        <v>7.0000000000000062E-2</v>
      </c>
      <c r="I55" s="46">
        <f>B41+0.05</f>
        <v>1.3900000000000001</v>
      </c>
      <c r="J55" s="46">
        <f t="shared" ref="J55:K55" si="23">C41+0.05</f>
        <v>1.4600000000000002</v>
      </c>
      <c r="K55" s="46">
        <f t="shared" si="23"/>
        <v>1.5300000000000002</v>
      </c>
      <c r="N55" s="25" t="s">
        <v>41</v>
      </c>
      <c r="O55" s="25" t="s">
        <v>37</v>
      </c>
      <c r="P55" s="33">
        <f>SQRT((2*J48)/(3*2))*L49</f>
        <v>9.6513649881330835E-2</v>
      </c>
      <c r="Q55" s="31"/>
    </row>
    <row r="56" spans="1:22" x14ac:dyDescent="0.25">
      <c r="A56" s="27" t="s">
        <v>56</v>
      </c>
      <c r="B56" s="45">
        <v>1.41</v>
      </c>
      <c r="C56" s="45">
        <v>1.44</v>
      </c>
      <c r="D56" s="45">
        <v>1.42</v>
      </c>
      <c r="E56" s="28">
        <f t="shared" si="16"/>
        <v>4.2699999999999996</v>
      </c>
      <c r="F56" s="28">
        <f>E56/3</f>
        <v>1.4233333333333331</v>
      </c>
      <c r="G56" s="43">
        <v>2</v>
      </c>
      <c r="H56" s="16">
        <f t="shared" ref="H56:H63" si="24">F42-F51</f>
        <v>6.3333333333333464E-2</v>
      </c>
      <c r="I56" s="46">
        <f t="shared" ref="I56:I68" si="25">B42+0.05</f>
        <v>1.6300000000000001</v>
      </c>
      <c r="J56" s="46">
        <f t="shared" ref="J56:J68" si="26">C42+0.05</f>
        <v>1.7600000000000002</v>
      </c>
      <c r="K56" s="46">
        <f t="shared" ref="K56:K68" si="27">D42+0.05</f>
        <v>1.82</v>
      </c>
      <c r="Q56" s="31"/>
    </row>
    <row r="57" spans="1:22" x14ac:dyDescent="0.25">
      <c r="A57" s="27" t="s">
        <v>57</v>
      </c>
      <c r="B57" s="45">
        <v>1.51</v>
      </c>
      <c r="C57" s="45">
        <v>1.4000000000000001</v>
      </c>
      <c r="D57" s="45">
        <v>1.55</v>
      </c>
      <c r="E57" s="28">
        <f t="shared" si="16"/>
        <v>4.46</v>
      </c>
      <c r="F57" s="28">
        <f t="shared" ref="F57:F58" si="28">E57/3</f>
        <v>1.4866666666666666</v>
      </c>
      <c r="G57" s="43">
        <v>3</v>
      </c>
      <c r="H57" s="16">
        <f t="shared" si="24"/>
        <v>0.16666666666666696</v>
      </c>
      <c r="I57" s="46">
        <f t="shared" si="25"/>
        <v>1.8000000000000003</v>
      </c>
      <c r="J57" s="46">
        <f t="shared" si="26"/>
        <v>1.7200000000000002</v>
      </c>
      <c r="K57" s="46">
        <f t="shared" si="27"/>
        <v>1.7700000000000002</v>
      </c>
    </row>
    <row r="58" spans="1:22" x14ac:dyDescent="0.25">
      <c r="A58" s="27" t="s">
        <v>58</v>
      </c>
      <c r="B58" s="45">
        <v>1.33</v>
      </c>
      <c r="C58" s="45">
        <v>1.41</v>
      </c>
      <c r="D58" s="45">
        <v>1.44</v>
      </c>
      <c r="E58" s="28">
        <f t="shared" si="16"/>
        <v>4.18</v>
      </c>
      <c r="F58" s="28">
        <f t="shared" si="28"/>
        <v>1.3933333333333333</v>
      </c>
      <c r="G58" s="43">
        <v>4</v>
      </c>
      <c r="H58" s="16">
        <f t="shared" si="24"/>
        <v>0.16999999999999993</v>
      </c>
      <c r="I58" s="46">
        <f t="shared" si="25"/>
        <v>1.6400000000000001</v>
      </c>
      <c r="J58" s="46">
        <f t="shared" si="26"/>
        <v>1.6600000000000001</v>
      </c>
      <c r="K58" s="46">
        <f t="shared" si="27"/>
        <v>1.6300000000000001</v>
      </c>
    </row>
    <row r="59" spans="1:22" x14ac:dyDescent="0.25">
      <c r="A59" s="25" t="s">
        <v>20</v>
      </c>
      <c r="B59" s="28">
        <f>SUM(B41:B58)</f>
        <v>27.900000000000006</v>
      </c>
      <c r="C59" s="28">
        <f t="shared" ref="C59:D59" si="29">SUM(C41:C58)</f>
        <v>28.140000000000004</v>
      </c>
      <c r="D59" s="28">
        <f t="shared" si="29"/>
        <v>28.760000000000005</v>
      </c>
      <c r="E59" s="28">
        <f>SUM(E41:E58)</f>
        <v>84.800000000000011</v>
      </c>
      <c r="F59" s="28">
        <f>AVERAGE(B41:D58)</f>
        <v>1.5703703703703706</v>
      </c>
      <c r="G59" s="43">
        <v>5</v>
      </c>
      <c r="H59" s="16">
        <f t="shared" si="24"/>
        <v>6.3333333333333464E-2</v>
      </c>
      <c r="I59" s="46">
        <f t="shared" si="25"/>
        <v>1.7800000000000002</v>
      </c>
      <c r="J59" s="46">
        <f t="shared" si="26"/>
        <v>1.7200000000000002</v>
      </c>
      <c r="K59" s="46">
        <f t="shared" si="27"/>
        <v>1.6300000000000001</v>
      </c>
    </row>
    <row r="60" spans="1:22" x14ac:dyDescent="0.25">
      <c r="A60" s="25" t="s">
        <v>11</v>
      </c>
      <c r="B60" s="28">
        <f>B59/18</f>
        <v>1.5500000000000003</v>
      </c>
      <c r="C60" s="28">
        <f>C59/18</f>
        <v>1.5633333333333335</v>
      </c>
      <c r="D60" s="28">
        <f>D59/18</f>
        <v>1.597777777777778</v>
      </c>
      <c r="G60" s="43">
        <v>6</v>
      </c>
      <c r="H60" s="16">
        <f t="shared" si="24"/>
        <v>0.17666666666666675</v>
      </c>
      <c r="I60" s="46">
        <f t="shared" si="25"/>
        <v>1.8900000000000001</v>
      </c>
      <c r="J60" s="46">
        <f t="shared" si="26"/>
        <v>1.83</v>
      </c>
      <c r="K60" s="46">
        <f t="shared" si="27"/>
        <v>1.9300000000000002</v>
      </c>
    </row>
    <row r="61" spans="1:22" x14ac:dyDescent="0.25">
      <c r="A61" s="25" t="s">
        <v>59</v>
      </c>
      <c r="B61" s="28">
        <f>(E59*E59)/54</f>
        <v>133.16740740740744</v>
      </c>
      <c r="C61" s="28"/>
      <c r="D61" s="28"/>
      <c r="G61" s="43">
        <v>7</v>
      </c>
      <c r="H61" s="16">
        <f t="shared" si="24"/>
        <v>0.22333333333333361</v>
      </c>
      <c r="I61" s="46">
        <f t="shared" si="25"/>
        <v>1.6700000000000002</v>
      </c>
      <c r="J61" s="46">
        <f t="shared" si="26"/>
        <v>1.7000000000000002</v>
      </c>
      <c r="K61" s="46">
        <f t="shared" si="27"/>
        <v>1.7200000000000002</v>
      </c>
    </row>
    <row r="62" spans="1:22" x14ac:dyDescent="0.25">
      <c r="A62" s="25" t="s">
        <v>60</v>
      </c>
      <c r="B62" s="28">
        <f>SUMSQ(B41:D58)-B61</f>
        <v>1.1521925925925984</v>
      </c>
      <c r="C62" s="25" t="s">
        <v>61</v>
      </c>
      <c r="D62" s="28">
        <f>(SUMSQ(B59:D59)/18)-B61</f>
        <v>2.1881481481472065E-2</v>
      </c>
      <c r="G62" s="43">
        <v>8</v>
      </c>
      <c r="H62" s="16">
        <f t="shared" si="24"/>
        <v>0.18666666666666698</v>
      </c>
      <c r="I62" s="46">
        <f t="shared" si="25"/>
        <v>1.7600000000000002</v>
      </c>
      <c r="J62" s="46">
        <f t="shared" si="26"/>
        <v>1.6500000000000001</v>
      </c>
      <c r="K62" s="46">
        <f t="shared" si="27"/>
        <v>1.7600000000000002</v>
      </c>
    </row>
    <row r="63" spans="1:22" x14ac:dyDescent="0.25">
      <c r="A63" s="25" t="s">
        <v>62</v>
      </c>
      <c r="B63" s="28">
        <f>(SUMSQ(E41:E58)/3)-B61</f>
        <v>0.90025925925922934</v>
      </c>
      <c r="C63" s="25" t="s">
        <v>63</v>
      </c>
      <c r="D63" s="28">
        <f>B62-B63-D62</f>
        <v>0.23005185185189703</v>
      </c>
      <c r="G63" s="43">
        <v>9</v>
      </c>
      <c r="H63" s="16">
        <f t="shared" si="24"/>
        <v>0.16666666666666652</v>
      </c>
      <c r="I63" s="46">
        <f t="shared" si="25"/>
        <v>1.6300000000000001</v>
      </c>
      <c r="J63" s="46">
        <f t="shared" si="26"/>
        <v>1.6</v>
      </c>
      <c r="K63" s="46">
        <f t="shared" si="27"/>
        <v>1.6</v>
      </c>
    </row>
    <row r="64" spans="1:22" x14ac:dyDescent="0.25">
      <c r="I64" s="46">
        <f t="shared" si="25"/>
        <v>1.3800000000000001</v>
      </c>
      <c r="J64" s="46">
        <f t="shared" si="26"/>
        <v>1.4000000000000001</v>
      </c>
      <c r="K64" s="46">
        <f t="shared" si="27"/>
        <v>1.3900000000000001</v>
      </c>
    </row>
    <row r="65" spans="1:21" x14ac:dyDescent="0.25">
      <c r="I65" s="46">
        <f t="shared" si="25"/>
        <v>1.49</v>
      </c>
      <c r="J65" s="46">
        <f t="shared" si="26"/>
        <v>1.56</v>
      </c>
      <c r="K65" s="46">
        <f t="shared" si="27"/>
        <v>1.97</v>
      </c>
    </row>
    <row r="66" spans="1:21" x14ac:dyDescent="0.25">
      <c r="I66" s="46">
        <f t="shared" si="25"/>
        <v>1.58</v>
      </c>
      <c r="J66" s="46">
        <f t="shared" si="26"/>
        <v>1.6900000000000002</v>
      </c>
      <c r="K66" s="46">
        <f t="shared" si="27"/>
        <v>1.52</v>
      </c>
    </row>
    <row r="67" spans="1:21" ht="15.75" x14ac:dyDescent="0.25">
      <c r="C67" s="18" t="s">
        <v>81</v>
      </c>
      <c r="I67" s="46">
        <f t="shared" si="25"/>
        <v>1.4300000000000002</v>
      </c>
      <c r="J67" s="46">
        <f t="shared" si="26"/>
        <v>1.56</v>
      </c>
      <c r="K67" s="46">
        <f t="shared" si="27"/>
        <v>1.4300000000000002</v>
      </c>
    </row>
    <row r="68" spans="1:21" x14ac:dyDescent="0.25">
      <c r="I68" s="46">
        <f t="shared" si="25"/>
        <v>1.59</v>
      </c>
      <c r="J68" s="46">
        <f t="shared" si="26"/>
        <v>1.62</v>
      </c>
      <c r="K68" s="46">
        <f t="shared" si="27"/>
        <v>1.73</v>
      </c>
    </row>
    <row r="69" spans="1:21" x14ac:dyDescent="0.25">
      <c r="A69" s="19" t="s">
        <v>13</v>
      </c>
      <c r="B69" s="20">
        <v>2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2"/>
      <c r="N69" s="22"/>
      <c r="O69" s="21"/>
      <c r="P69" s="21"/>
    </row>
    <row r="70" spans="1:21" x14ac:dyDescent="0.25">
      <c r="A70" s="19" t="s">
        <v>14</v>
      </c>
      <c r="B70" s="20">
        <v>9</v>
      </c>
      <c r="C70" s="21" t="s">
        <v>15</v>
      </c>
      <c r="D70" s="21">
        <v>18</v>
      </c>
      <c r="E70" s="21"/>
      <c r="F70" s="21"/>
      <c r="G70" s="21"/>
      <c r="H70" s="21"/>
      <c r="I70" s="21"/>
      <c r="J70" s="21"/>
      <c r="K70" s="21"/>
      <c r="L70" s="21"/>
      <c r="M70" s="22"/>
      <c r="N70" s="22"/>
      <c r="O70" s="21"/>
      <c r="P70" s="21"/>
    </row>
    <row r="71" spans="1:21" x14ac:dyDescent="0.25">
      <c r="A71" s="15" t="s">
        <v>16</v>
      </c>
      <c r="B71" s="23">
        <v>3</v>
      </c>
    </row>
    <row r="72" spans="1:21" x14ac:dyDescent="0.25">
      <c r="A72" s="24" t="s">
        <v>0</v>
      </c>
      <c r="B72" s="25" t="s">
        <v>17</v>
      </c>
      <c r="C72" s="25" t="s">
        <v>18</v>
      </c>
      <c r="D72" s="25" t="s">
        <v>19</v>
      </c>
      <c r="E72" s="25" t="s">
        <v>20</v>
      </c>
      <c r="F72" s="25" t="s">
        <v>11</v>
      </c>
      <c r="O72" s="16" t="s">
        <v>21</v>
      </c>
      <c r="S72" s="26">
        <v>2019</v>
      </c>
      <c r="T72" s="26"/>
      <c r="U72" s="26"/>
    </row>
    <row r="73" spans="1:21" x14ac:dyDescent="0.25">
      <c r="A73" s="27" t="s">
        <v>22</v>
      </c>
      <c r="B73" s="7">
        <v>1.41</v>
      </c>
      <c r="C73" s="7">
        <v>1.58</v>
      </c>
      <c r="D73" s="7">
        <v>1.45</v>
      </c>
      <c r="E73" s="33">
        <f t="shared" ref="E73:E90" si="30">SUM(B73:D73)</f>
        <v>4.4400000000000004</v>
      </c>
      <c r="F73" s="33">
        <f>E73/3</f>
        <v>1.4800000000000002</v>
      </c>
      <c r="H73" s="29"/>
      <c r="I73" s="29"/>
      <c r="J73" s="29" t="s">
        <v>23</v>
      </c>
      <c r="K73" s="29"/>
      <c r="L73" s="29"/>
      <c r="M73" s="29"/>
      <c r="N73" s="29"/>
      <c r="O73" s="30">
        <v>1</v>
      </c>
      <c r="P73" s="33">
        <f>SUM(F73:F81)/9</f>
        <v>1.7118518518518522</v>
      </c>
      <c r="Q73" s="31" t="e">
        <f>RANK(P73,P$9:P$10,0)</f>
        <v>#N/A</v>
      </c>
      <c r="S73" s="26">
        <f>P73*1835</f>
        <v>3141.2481481481486</v>
      </c>
      <c r="T73" s="26"/>
      <c r="U73" s="26"/>
    </row>
    <row r="74" spans="1:21" x14ac:dyDescent="0.25">
      <c r="A74" s="27" t="s">
        <v>24</v>
      </c>
      <c r="B74" s="7">
        <v>1.75</v>
      </c>
      <c r="C74" s="7">
        <v>1.7800000000000002</v>
      </c>
      <c r="D74" s="7">
        <v>1.74</v>
      </c>
      <c r="E74" s="33">
        <f t="shared" si="30"/>
        <v>5.2700000000000005</v>
      </c>
      <c r="F74" s="33">
        <f t="shared" ref="F74:F87" si="31">E74/3</f>
        <v>1.7566666666666668</v>
      </c>
      <c r="G74" s="28"/>
      <c r="H74" s="25" t="s">
        <v>25</v>
      </c>
      <c r="I74" s="25" t="s">
        <v>26</v>
      </c>
      <c r="J74" s="25" t="s">
        <v>27</v>
      </c>
      <c r="K74" s="25" t="s">
        <v>28</v>
      </c>
      <c r="L74" s="25" t="s">
        <v>29</v>
      </c>
      <c r="M74" s="25" t="s">
        <v>30</v>
      </c>
      <c r="N74" s="32"/>
      <c r="O74" s="30">
        <v>2</v>
      </c>
      <c r="P74" s="33">
        <f>SUM(F82:F90)/9</f>
        <v>1.5385185185185186</v>
      </c>
      <c r="Q74" s="31" t="e">
        <f>RANK(P74,P$9:P$10,0)</f>
        <v>#N/A</v>
      </c>
      <c r="S74" s="26">
        <f>P74*1835</f>
        <v>2823.1814814814816</v>
      </c>
      <c r="T74" s="26"/>
      <c r="U74" s="26"/>
    </row>
    <row r="75" spans="1:21" x14ac:dyDescent="0.25">
      <c r="A75" s="27" t="s">
        <v>31</v>
      </c>
      <c r="B75" s="7">
        <v>1.78</v>
      </c>
      <c r="C75" s="7">
        <v>1.78</v>
      </c>
      <c r="D75" s="7">
        <v>1.7900000000000003</v>
      </c>
      <c r="E75" s="33">
        <f t="shared" si="30"/>
        <v>5.3500000000000005</v>
      </c>
      <c r="F75" s="33">
        <f t="shared" si="31"/>
        <v>1.7833333333333334</v>
      </c>
      <c r="G75" s="28" t="s">
        <v>32</v>
      </c>
      <c r="H75" s="28">
        <f>B71-1</f>
        <v>2</v>
      </c>
      <c r="I75" s="28">
        <f>D94</f>
        <v>1.9592592592800884E-3</v>
      </c>
      <c r="J75" s="28">
        <f>I75/H75</f>
        <v>9.7962962964004419E-4</v>
      </c>
      <c r="K75" s="28">
        <f>J75/$J$16</f>
        <v>6.340287227134779E-2</v>
      </c>
      <c r="L75" s="28">
        <f>FINV(0.05,H75,$H$16)</f>
        <v>3.275897990672394</v>
      </c>
      <c r="M75" s="28" t="str">
        <f>IF(K75&gt;=L75, "S", "NS")</f>
        <v>NS</v>
      </c>
      <c r="N75" s="21"/>
      <c r="O75" s="25" t="s">
        <v>33</v>
      </c>
      <c r="P75" s="33">
        <f>SQRT(J80/(3*9))</f>
        <v>9.164878459411354E-3</v>
      </c>
      <c r="S75" s="26"/>
      <c r="T75" s="26"/>
      <c r="U75" s="26"/>
    </row>
    <row r="76" spans="1:21" x14ac:dyDescent="0.25">
      <c r="A76" s="27" t="s">
        <v>34</v>
      </c>
      <c r="B76" s="7">
        <v>1.6600000000000001</v>
      </c>
      <c r="C76" s="7">
        <v>1.6800000000000002</v>
      </c>
      <c r="D76" s="7">
        <v>1.6500000000000001</v>
      </c>
      <c r="E76" s="33">
        <f t="shared" si="30"/>
        <v>4.99</v>
      </c>
      <c r="F76" s="33">
        <f t="shared" si="31"/>
        <v>1.6633333333333333</v>
      </c>
      <c r="G76" s="28" t="s">
        <v>35</v>
      </c>
      <c r="H76" s="28">
        <f>D70-1</f>
        <v>17</v>
      </c>
      <c r="I76" s="28">
        <f>B95</f>
        <v>1.0274814814815159</v>
      </c>
      <c r="J76" s="28">
        <f t="shared" ref="J76:J80" si="32">I76/H76</f>
        <v>6.0440087145971523E-2</v>
      </c>
      <c r="K76" s="28">
        <f>J76/$J$16</f>
        <v>3.9117591071568776</v>
      </c>
      <c r="L76" s="28">
        <f>FINV(0.05,H76,$H$16)</f>
        <v>1.9332068318040869</v>
      </c>
      <c r="M76" s="34" t="str">
        <f t="shared" ref="M76" si="33">IF(K76&gt;=L76, "S", "NS")</f>
        <v>S</v>
      </c>
      <c r="N76" s="25" t="s">
        <v>36</v>
      </c>
      <c r="O76" s="25" t="s">
        <v>37</v>
      </c>
      <c r="P76" s="33">
        <f>SQRT((2*J80)/(3*9))*L81</f>
        <v>2.6340114991471531E-2</v>
      </c>
      <c r="S76" s="26"/>
      <c r="T76" s="26"/>
      <c r="U76" s="26"/>
    </row>
    <row r="77" spans="1:21" x14ac:dyDescent="0.25">
      <c r="A77" s="27" t="s">
        <v>38</v>
      </c>
      <c r="B77" s="7">
        <v>1.7</v>
      </c>
      <c r="C77" s="7">
        <v>1.7400000000000002</v>
      </c>
      <c r="D77" s="7">
        <v>1.75</v>
      </c>
      <c r="E77" s="33">
        <f t="shared" si="30"/>
        <v>5.19</v>
      </c>
      <c r="F77" s="33">
        <f t="shared" si="31"/>
        <v>1.7300000000000002</v>
      </c>
      <c r="G77" s="28" t="s">
        <v>39</v>
      </c>
      <c r="H77" s="28">
        <f>B69-1</f>
        <v>1</v>
      </c>
      <c r="I77" s="28">
        <f>(SUM(E73:E81)^2+SUM(E82:E90)^2)/27-B93</f>
        <v>0.40560000000004948</v>
      </c>
      <c r="J77" s="28">
        <f t="shared" si="32"/>
        <v>0.40560000000004948</v>
      </c>
      <c r="K77" s="28">
        <f>J77/$J$16</f>
        <v>26.250946495678146</v>
      </c>
      <c r="L77" s="28">
        <f>FINV(0.05,H77,$H$16)</f>
        <v>4.1300177456520188</v>
      </c>
      <c r="M77" s="28" t="str">
        <f>IF(K77&gt;=L77, "S", "NS")</f>
        <v>S</v>
      </c>
      <c r="N77" s="21"/>
      <c r="O77" s="30">
        <v>1</v>
      </c>
      <c r="P77" s="33">
        <f>(F73+F82)/2</f>
        <v>1.4300000000000002</v>
      </c>
      <c r="Q77" s="31" t="e">
        <f>RANK(P77,P$13:P$21,0)</f>
        <v>#N/A</v>
      </c>
      <c r="R77" s="35">
        <v>9</v>
      </c>
      <c r="S77" s="36">
        <f>P77*1835</f>
        <v>2624.05</v>
      </c>
      <c r="T77" s="36"/>
      <c r="U77" s="36"/>
    </row>
    <row r="78" spans="1:21" x14ac:dyDescent="0.25">
      <c r="A78" s="27" t="s">
        <v>40</v>
      </c>
      <c r="B78" s="7">
        <v>1.9100000000000001</v>
      </c>
      <c r="C78" s="7">
        <v>1.85</v>
      </c>
      <c r="D78" s="7">
        <v>1.9500000000000002</v>
      </c>
      <c r="E78" s="33">
        <f t="shared" si="30"/>
        <v>5.7100000000000009</v>
      </c>
      <c r="F78" s="33">
        <f t="shared" si="31"/>
        <v>1.9033333333333335</v>
      </c>
      <c r="G78" s="28" t="s">
        <v>41</v>
      </c>
      <c r="H78" s="28">
        <f>B70-1</f>
        <v>8</v>
      </c>
      <c r="I78" s="28">
        <f>((E73+E82)^2+(E74+E83)^2+(E75+E84)^2+(E76+E85)^2+(E77+E86)^2+(E78+E87)^2+(E79+E88)^2+(E80+E89)^2+(E81+E90)^2/6)-B93</f>
        <v>646.22286481481478</v>
      </c>
      <c r="J78" s="28">
        <f t="shared" si="32"/>
        <v>80.777858101851848</v>
      </c>
      <c r="K78" s="28">
        <f>J78/$J$16</f>
        <v>5228.045441486528</v>
      </c>
      <c r="L78" s="28">
        <f>FINV(0.05,H78,$H$16)</f>
        <v>2.2253399674380931</v>
      </c>
      <c r="M78" s="28" t="str">
        <f>IF(K78&gt;=L78, "S", "NS")</f>
        <v>S</v>
      </c>
      <c r="N78" s="21"/>
      <c r="O78" s="30">
        <v>2</v>
      </c>
      <c r="P78" s="33">
        <f t="shared" ref="P78:P85" si="34">(F74+F83)/2</f>
        <v>1.7083333333333335</v>
      </c>
      <c r="Q78" s="31" t="e">
        <f t="shared" ref="Q78:Q85" si="35">RANK(P78,P$13:P$21,0)</f>
        <v>#N/A</v>
      </c>
      <c r="R78" s="37">
        <v>5</v>
      </c>
      <c r="S78" s="36">
        <f t="shared" ref="S78:S85" si="36">P78*1835</f>
        <v>3134.791666666667</v>
      </c>
      <c r="T78" s="26"/>
      <c r="U78" s="26"/>
    </row>
    <row r="79" spans="1:21" x14ac:dyDescent="0.25">
      <c r="A79" s="27" t="s">
        <v>42</v>
      </c>
      <c r="B79" s="7">
        <v>1.6900000000000002</v>
      </c>
      <c r="C79" s="7">
        <v>1.7200000000000002</v>
      </c>
      <c r="D79" s="7">
        <v>1.7400000000000002</v>
      </c>
      <c r="E79" s="33">
        <f t="shared" si="30"/>
        <v>5.15</v>
      </c>
      <c r="F79" s="33">
        <f t="shared" si="31"/>
        <v>1.7166666666666668</v>
      </c>
      <c r="G79" s="38" t="s">
        <v>43</v>
      </c>
      <c r="H79" s="28">
        <f>H77*H78</f>
        <v>8</v>
      </c>
      <c r="I79" s="28">
        <f>I76-(I77+I78)</f>
        <v>-645.60098333333326</v>
      </c>
      <c r="J79" s="28">
        <f t="shared" si="32"/>
        <v>-80.700122916666658</v>
      </c>
      <c r="K79" s="39">
        <f>J79/$J$16</f>
        <v>-5223.0143216957795</v>
      </c>
      <c r="L79" s="28">
        <f>FINV(0.05,H79,$H$16)</f>
        <v>2.2253399674380931</v>
      </c>
      <c r="M79" s="28" t="str">
        <f t="shared" ref="M79" si="37">IF(K79&gt;=L79, "S", "NS")</f>
        <v>NS</v>
      </c>
      <c r="N79" s="21"/>
      <c r="O79" s="30">
        <v>3</v>
      </c>
      <c r="P79" s="33">
        <f t="shared" si="34"/>
        <v>1.6850000000000001</v>
      </c>
      <c r="Q79" s="31" t="e">
        <f t="shared" si="35"/>
        <v>#N/A</v>
      </c>
      <c r="R79" s="37">
        <v>2</v>
      </c>
      <c r="S79" s="36">
        <f t="shared" si="36"/>
        <v>3091.9749999999999</v>
      </c>
      <c r="T79" s="26"/>
      <c r="U79" s="26"/>
    </row>
    <row r="80" spans="1:21" x14ac:dyDescent="0.25">
      <c r="A80" s="27" t="s">
        <v>44</v>
      </c>
      <c r="B80" s="7">
        <v>1.7800000000000002</v>
      </c>
      <c r="C80" s="7">
        <v>1.6700000000000002</v>
      </c>
      <c r="D80" s="7">
        <v>1.7800000000000002</v>
      </c>
      <c r="E80" s="33">
        <f t="shared" si="30"/>
        <v>5.23</v>
      </c>
      <c r="F80" s="33">
        <f t="shared" si="31"/>
        <v>1.7433333333333334</v>
      </c>
      <c r="G80" s="40" t="s">
        <v>45</v>
      </c>
      <c r="H80" s="28">
        <f>((B71-1)*(B69*B70-1))</f>
        <v>34</v>
      </c>
      <c r="I80" s="28">
        <f>D95</f>
        <v>7.71074074073681E-2</v>
      </c>
      <c r="J80" s="28">
        <f t="shared" si="32"/>
        <v>2.2678649237461205E-3</v>
      </c>
      <c r="O80" s="30">
        <v>4</v>
      </c>
      <c r="P80" s="33">
        <f t="shared" si="34"/>
        <v>1.5633333333333335</v>
      </c>
      <c r="Q80" s="31" t="e">
        <f t="shared" si="35"/>
        <v>#N/A</v>
      </c>
      <c r="R80" s="37">
        <v>7</v>
      </c>
      <c r="S80" s="36">
        <f t="shared" si="36"/>
        <v>2868.7166666666667</v>
      </c>
      <c r="T80" s="26"/>
      <c r="U80" s="26"/>
    </row>
    <row r="81" spans="1:21" x14ac:dyDescent="0.25">
      <c r="A81" s="27" t="s">
        <v>46</v>
      </c>
      <c r="B81" s="7">
        <v>1.6500000000000001</v>
      </c>
      <c r="C81" s="7">
        <v>1.62</v>
      </c>
      <c r="D81" s="7">
        <v>1.62</v>
      </c>
      <c r="E81" s="33">
        <f t="shared" si="30"/>
        <v>4.8900000000000006</v>
      </c>
      <c r="F81" s="33">
        <f t="shared" si="31"/>
        <v>1.6300000000000001</v>
      </c>
      <c r="G81" s="39" t="s">
        <v>20</v>
      </c>
      <c r="H81" s="28">
        <f>SUM(H75:H80)-H76</f>
        <v>53</v>
      </c>
      <c r="I81" s="28">
        <f>B94</f>
        <v>1.106548148148164</v>
      </c>
      <c r="K81" s="28" t="s">
        <v>47</v>
      </c>
      <c r="L81" s="16">
        <f>TINV(0.05,34)</f>
        <v>2.0322445093177191</v>
      </c>
      <c r="O81" s="30">
        <v>5</v>
      </c>
      <c r="P81" s="33">
        <f t="shared" si="34"/>
        <v>1.6833333333333336</v>
      </c>
      <c r="Q81" s="31" t="e">
        <f t="shared" si="35"/>
        <v>#N/A</v>
      </c>
      <c r="R81" s="35">
        <v>3</v>
      </c>
      <c r="S81" s="36">
        <f t="shared" si="36"/>
        <v>3088.916666666667</v>
      </c>
      <c r="T81" s="41"/>
      <c r="U81" s="41"/>
    </row>
    <row r="82" spans="1:21" x14ac:dyDescent="0.25">
      <c r="A82" s="27" t="s">
        <v>48</v>
      </c>
      <c r="B82" s="7">
        <v>1.37</v>
      </c>
      <c r="C82" s="7">
        <v>1.3900000000000001</v>
      </c>
      <c r="D82" s="7">
        <v>1.3800000000000001</v>
      </c>
      <c r="E82" s="33">
        <f t="shared" si="30"/>
        <v>4.1400000000000006</v>
      </c>
      <c r="F82" s="33">
        <f t="shared" si="31"/>
        <v>1.3800000000000001</v>
      </c>
      <c r="G82" s="42" t="s">
        <v>33</v>
      </c>
      <c r="H82" s="28">
        <f>SQRT(J80/3)</f>
        <v>2.7494635378234062E-2</v>
      </c>
      <c r="O82" s="30">
        <v>6</v>
      </c>
      <c r="P82" s="33">
        <f t="shared" si="34"/>
        <v>1.8</v>
      </c>
      <c r="Q82" s="31" t="e">
        <f t="shared" si="35"/>
        <v>#N/A</v>
      </c>
      <c r="R82" s="37">
        <v>1</v>
      </c>
      <c r="S82" s="36">
        <f t="shared" si="36"/>
        <v>3303</v>
      </c>
      <c r="T82" s="41"/>
      <c r="U82" s="41"/>
    </row>
    <row r="83" spans="1:21" x14ac:dyDescent="0.25">
      <c r="A83" s="27" t="s">
        <v>49</v>
      </c>
      <c r="B83" s="7">
        <v>1.68</v>
      </c>
      <c r="C83" s="7">
        <v>1.6</v>
      </c>
      <c r="D83" s="7">
        <v>1.7</v>
      </c>
      <c r="E83" s="33">
        <f t="shared" si="30"/>
        <v>4.9800000000000004</v>
      </c>
      <c r="F83" s="33">
        <f t="shared" si="31"/>
        <v>1.6600000000000001</v>
      </c>
      <c r="G83" s="42" t="s">
        <v>37</v>
      </c>
      <c r="H83" s="28">
        <f>(SQRT((2*J80)/3))*L81</f>
        <v>7.9020344974414597E-2</v>
      </c>
      <c r="O83" s="30">
        <v>7</v>
      </c>
      <c r="P83" s="33">
        <f t="shared" si="34"/>
        <v>1.5899999999999999</v>
      </c>
      <c r="Q83" s="31" t="e">
        <f t="shared" si="35"/>
        <v>#N/A</v>
      </c>
      <c r="R83" s="37">
        <v>6</v>
      </c>
      <c r="S83" s="36">
        <f t="shared" si="36"/>
        <v>2917.6499999999996</v>
      </c>
      <c r="T83" s="41"/>
      <c r="U83" s="41"/>
    </row>
    <row r="84" spans="1:21" x14ac:dyDescent="0.25">
      <c r="A84" s="27" t="s">
        <v>50</v>
      </c>
      <c r="B84" s="7">
        <v>1.57</v>
      </c>
      <c r="C84" s="7">
        <v>1.6800000000000002</v>
      </c>
      <c r="D84" s="7">
        <v>1.51</v>
      </c>
      <c r="E84" s="33">
        <f t="shared" si="30"/>
        <v>4.76</v>
      </c>
      <c r="F84" s="33">
        <f t="shared" si="31"/>
        <v>1.5866666666666667</v>
      </c>
      <c r="G84" s="42" t="s">
        <v>51</v>
      </c>
      <c r="H84" s="28">
        <f>((SQRT(J80))/F91)*100</f>
        <v>2.9302571697548254</v>
      </c>
      <c r="O84" s="30">
        <v>8</v>
      </c>
      <c r="P84" s="33">
        <f t="shared" si="34"/>
        <v>1.635</v>
      </c>
      <c r="Q84" s="31" t="e">
        <f t="shared" si="35"/>
        <v>#N/A</v>
      </c>
      <c r="R84" s="35">
        <v>4</v>
      </c>
      <c r="S84" s="36">
        <f t="shared" si="36"/>
        <v>3000.2249999999999</v>
      </c>
      <c r="T84" s="41"/>
      <c r="U84" s="41"/>
    </row>
    <row r="85" spans="1:21" x14ac:dyDescent="0.25">
      <c r="A85" s="27" t="s">
        <v>52</v>
      </c>
      <c r="B85" s="7">
        <v>1.4700000000000002</v>
      </c>
      <c r="C85" s="7">
        <v>1.5</v>
      </c>
      <c r="D85" s="7">
        <v>1.4200000000000002</v>
      </c>
      <c r="E85" s="33">
        <f t="shared" si="30"/>
        <v>4.3900000000000006</v>
      </c>
      <c r="F85" s="33">
        <f t="shared" si="31"/>
        <v>1.4633333333333336</v>
      </c>
      <c r="O85" s="30">
        <v>9</v>
      </c>
      <c r="P85" s="33">
        <f t="shared" si="34"/>
        <v>1.5316666666666667</v>
      </c>
      <c r="Q85" s="31" t="e">
        <f t="shared" si="35"/>
        <v>#N/A</v>
      </c>
      <c r="R85" s="37">
        <v>8</v>
      </c>
      <c r="S85" s="36">
        <f t="shared" si="36"/>
        <v>2810.6083333333336</v>
      </c>
      <c r="T85" s="41"/>
      <c r="U85" s="41"/>
    </row>
    <row r="86" spans="1:21" x14ac:dyDescent="0.25">
      <c r="A86" s="27" t="s">
        <v>53</v>
      </c>
      <c r="B86" s="7">
        <v>1.58</v>
      </c>
      <c r="C86" s="7">
        <v>1.61</v>
      </c>
      <c r="D86" s="7">
        <v>1.72</v>
      </c>
      <c r="E86" s="33">
        <f t="shared" si="30"/>
        <v>4.91</v>
      </c>
      <c r="F86" s="33">
        <f t="shared" si="31"/>
        <v>1.6366666666666667</v>
      </c>
      <c r="H86" s="16" t="s">
        <v>54</v>
      </c>
      <c r="O86" s="25" t="s">
        <v>33</v>
      </c>
      <c r="P86" s="33">
        <f>SQRT(J80/(3*2))</f>
        <v>1.9441643122200862E-2</v>
      </c>
      <c r="Q86" s="31"/>
      <c r="S86" s="41"/>
      <c r="T86" s="41"/>
      <c r="U86" s="41"/>
    </row>
    <row r="87" spans="1:21" x14ac:dyDescent="0.25">
      <c r="A87" s="27" t="s">
        <v>55</v>
      </c>
      <c r="B87" s="7">
        <v>1.73</v>
      </c>
      <c r="C87" s="7">
        <v>1.7</v>
      </c>
      <c r="D87" s="7">
        <v>1.6600000000000001</v>
      </c>
      <c r="E87" s="33">
        <f t="shared" si="30"/>
        <v>5.09</v>
      </c>
      <c r="F87" s="33">
        <f t="shared" si="31"/>
        <v>1.6966666666666665</v>
      </c>
      <c r="G87" s="43">
        <v>1</v>
      </c>
      <c r="H87" s="16">
        <f>F73-F82</f>
        <v>0.10000000000000009</v>
      </c>
      <c r="I87" s="46">
        <f>B73+0.11</f>
        <v>1.52</v>
      </c>
      <c r="J87" s="46">
        <f t="shared" ref="J87:K87" si="38">C73+0.11</f>
        <v>1.6900000000000002</v>
      </c>
      <c r="K87" s="46">
        <f t="shared" si="38"/>
        <v>1.56</v>
      </c>
      <c r="N87" s="25" t="s">
        <v>41</v>
      </c>
      <c r="O87" s="25" t="s">
        <v>37</v>
      </c>
      <c r="P87" s="33">
        <f>SQRT((2*J80)/(3*2))*L81</f>
        <v>5.5875821783108882E-2</v>
      </c>
      <c r="Q87" s="31"/>
      <c r="S87" s="41"/>
      <c r="T87" s="41"/>
      <c r="U87" s="41"/>
    </row>
    <row r="88" spans="1:21" x14ac:dyDescent="0.25">
      <c r="A88" s="27" t="s">
        <v>56</v>
      </c>
      <c r="B88" s="7">
        <v>1.45</v>
      </c>
      <c r="C88" s="7">
        <v>1.48</v>
      </c>
      <c r="D88" s="7">
        <v>1.46</v>
      </c>
      <c r="E88" s="33">
        <f t="shared" si="30"/>
        <v>4.3899999999999997</v>
      </c>
      <c r="F88" s="33">
        <f>E88/3</f>
        <v>1.4633333333333332</v>
      </c>
      <c r="G88" s="43">
        <v>2</v>
      </c>
      <c r="H88" s="16">
        <f t="shared" ref="H88:H95" si="39">F74-F83</f>
        <v>9.6666666666666679E-2</v>
      </c>
      <c r="I88" s="46">
        <f t="shared" ref="I88:I102" si="40">B74+0.11</f>
        <v>1.86</v>
      </c>
      <c r="J88" s="46">
        <f t="shared" ref="J88:J102" si="41">C74+0.11</f>
        <v>1.8900000000000003</v>
      </c>
      <c r="K88" s="46">
        <f t="shared" ref="K88:K102" si="42">D74+0.11</f>
        <v>1.85</v>
      </c>
      <c r="Q88" s="31"/>
      <c r="S88" s="41"/>
      <c r="T88" s="41"/>
      <c r="U88" s="41"/>
    </row>
    <row r="89" spans="1:21" x14ac:dyDescent="0.25">
      <c r="A89" s="27" t="s">
        <v>57</v>
      </c>
      <c r="B89" s="7">
        <v>1.55</v>
      </c>
      <c r="C89" s="7">
        <v>1.5</v>
      </c>
      <c r="D89" s="7">
        <v>1.53</v>
      </c>
      <c r="E89" s="33">
        <f t="shared" si="30"/>
        <v>4.58</v>
      </c>
      <c r="F89" s="33">
        <f t="shared" ref="F89:F90" si="43">E89/3</f>
        <v>1.5266666666666666</v>
      </c>
      <c r="G89" s="43">
        <v>3</v>
      </c>
      <c r="H89" s="16">
        <f t="shared" si="39"/>
        <v>0.19666666666666677</v>
      </c>
      <c r="I89" s="46">
        <f t="shared" si="40"/>
        <v>1.8900000000000001</v>
      </c>
      <c r="J89" s="46">
        <f t="shared" si="41"/>
        <v>1.8900000000000001</v>
      </c>
      <c r="K89" s="46">
        <f t="shared" si="42"/>
        <v>1.9000000000000004</v>
      </c>
      <c r="S89" s="41"/>
      <c r="T89" s="41"/>
      <c r="U89" s="41"/>
    </row>
    <row r="90" spans="1:21" x14ac:dyDescent="0.25">
      <c r="A90" s="27" t="s">
        <v>58</v>
      </c>
      <c r="B90" s="7">
        <v>1.37</v>
      </c>
      <c r="C90" s="7">
        <v>1.45</v>
      </c>
      <c r="D90" s="7">
        <v>1.48</v>
      </c>
      <c r="E90" s="33">
        <f t="shared" si="30"/>
        <v>4.3000000000000007</v>
      </c>
      <c r="F90" s="33">
        <f t="shared" si="43"/>
        <v>1.4333333333333336</v>
      </c>
      <c r="G90" s="43">
        <v>4</v>
      </c>
      <c r="H90" s="16">
        <f t="shared" si="39"/>
        <v>0.19999999999999973</v>
      </c>
      <c r="I90" s="46">
        <f t="shared" si="40"/>
        <v>1.7700000000000002</v>
      </c>
      <c r="J90" s="46">
        <f t="shared" si="41"/>
        <v>1.7900000000000003</v>
      </c>
      <c r="K90" s="46">
        <f t="shared" si="42"/>
        <v>1.7600000000000002</v>
      </c>
    </row>
    <row r="91" spans="1:21" x14ac:dyDescent="0.25">
      <c r="A91" s="25" t="s">
        <v>20</v>
      </c>
      <c r="B91" s="28">
        <f>SUM(B73:B90)</f>
        <v>29.1</v>
      </c>
      <c r="C91" s="28">
        <f>SUM(C73:C90)</f>
        <v>29.330000000000002</v>
      </c>
      <c r="D91" s="28">
        <f>SUM(D73:D90)</f>
        <v>29.330000000000005</v>
      </c>
      <c r="E91" s="28">
        <f>SUM(E73:E90)</f>
        <v>87.76</v>
      </c>
      <c r="F91" s="28">
        <f>AVERAGE(B73:D90)</f>
        <v>1.6251851851851853</v>
      </c>
      <c r="G91" s="43">
        <v>5</v>
      </c>
      <c r="H91" s="16">
        <f t="shared" si="39"/>
        <v>9.333333333333349E-2</v>
      </c>
      <c r="I91" s="46">
        <f t="shared" si="40"/>
        <v>1.81</v>
      </c>
      <c r="J91" s="46">
        <f t="shared" si="41"/>
        <v>1.8500000000000003</v>
      </c>
      <c r="K91" s="46">
        <f t="shared" si="42"/>
        <v>1.86</v>
      </c>
    </row>
    <row r="92" spans="1:21" x14ac:dyDescent="0.25">
      <c r="A92" s="25" t="s">
        <v>11</v>
      </c>
      <c r="B92" s="28">
        <f>B91/18</f>
        <v>1.6166666666666667</v>
      </c>
      <c r="C92" s="28">
        <f>C91/18</f>
        <v>1.6294444444444445</v>
      </c>
      <c r="D92" s="28">
        <f>D91/18</f>
        <v>1.6294444444444447</v>
      </c>
      <c r="G92" s="43">
        <v>6</v>
      </c>
      <c r="H92" s="16">
        <f t="shared" si="39"/>
        <v>0.206666666666667</v>
      </c>
      <c r="I92" s="46">
        <f t="shared" si="40"/>
        <v>2.02</v>
      </c>
      <c r="J92" s="46">
        <f t="shared" si="41"/>
        <v>1.9600000000000002</v>
      </c>
      <c r="K92" s="46">
        <f t="shared" si="42"/>
        <v>2.06</v>
      </c>
    </row>
    <row r="93" spans="1:21" x14ac:dyDescent="0.25">
      <c r="A93" s="25" t="s">
        <v>59</v>
      </c>
      <c r="B93" s="28">
        <f>(E91*E91)/54</f>
        <v>142.62625185185186</v>
      </c>
      <c r="C93" s="28"/>
      <c r="D93" s="28"/>
      <c r="G93" s="43">
        <v>7</v>
      </c>
      <c r="H93" s="16">
        <f t="shared" si="39"/>
        <v>0.25333333333333363</v>
      </c>
      <c r="I93" s="46">
        <f t="shared" si="40"/>
        <v>1.8000000000000003</v>
      </c>
      <c r="J93" s="46">
        <f t="shared" si="41"/>
        <v>1.8300000000000003</v>
      </c>
      <c r="K93" s="46">
        <f t="shared" si="42"/>
        <v>1.8500000000000003</v>
      </c>
    </row>
    <row r="94" spans="1:21" x14ac:dyDescent="0.25">
      <c r="A94" s="25" t="s">
        <v>60</v>
      </c>
      <c r="B94" s="28">
        <f>SUMSQ(B73:D90)-B93</f>
        <v>1.106548148148164</v>
      </c>
      <c r="C94" s="25" t="s">
        <v>61</v>
      </c>
      <c r="D94" s="28">
        <f>(SUMSQ(B91:D91)/18)-B93</f>
        <v>1.9592592592800884E-3</v>
      </c>
      <c r="G94" s="43">
        <v>8</v>
      </c>
      <c r="H94" s="16">
        <f t="shared" si="39"/>
        <v>0.21666666666666679</v>
      </c>
      <c r="I94" s="46">
        <f t="shared" si="40"/>
        <v>1.8900000000000003</v>
      </c>
      <c r="J94" s="46">
        <f t="shared" si="41"/>
        <v>1.7800000000000002</v>
      </c>
      <c r="K94" s="46">
        <f t="shared" si="42"/>
        <v>1.8900000000000003</v>
      </c>
    </row>
    <row r="95" spans="1:21" x14ac:dyDescent="0.25">
      <c r="A95" s="25" t="s">
        <v>62</v>
      </c>
      <c r="B95" s="28">
        <f>(SUMSQ(E73:E90)/3)-B93</f>
        <v>1.0274814814815159</v>
      </c>
      <c r="C95" s="25" t="s">
        <v>63</v>
      </c>
      <c r="D95" s="28">
        <f>B94-B95-D94</f>
        <v>7.71074074073681E-2</v>
      </c>
      <c r="G95" s="43">
        <v>9</v>
      </c>
      <c r="H95" s="16">
        <f t="shared" si="39"/>
        <v>0.19666666666666655</v>
      </c>
      <c r="I95" s="46">
        <f t="shared" si="40"/>
        <v>1.7600000000000002</v>
      </c>
      <c r="J95" s="46">
        <f t="shared" si="41"/>
        <v>1.7300000000000002</v>
      </c>
      <c r="K95" s="46">
        <f t="shared" si="42"/>
        <v>1.7300000000000002</v>
      </c>
    </row>
    <row r="96" spans="1:21" x14ac:dyDescent="0.25">
      <c r="H96" s="27" t="s">
        <v>50</v>
      </c>
      <c r="I96" s="46">
        <f t="shared" si="40"/>
        <v>1.4800000000000002</v>
      </c>
      <c r="J96" s="46">
        <f t="shared" si="41"/>
        <v>1.5000000000000002</v>
      </c>
      <c r="K96" s="46">
        <f t="shared" si="42"/>
        <v>1.4900000000000002</v>
      </c>
    </row>
    <row r="97" spans="1:18" x14ac:dyDescent="0.25">
      <c r="H97" s="27" t="s">
        <v>52</v>
      </c>
      <c r="I97" s="46">
        <f t="shared" si="40"/>
        <v>1.79</v>
      </c>
      <c r="J97" s="46">
        <f t="shared" si="41"/>
        <v>1.7100000000000002</v>
      </c>
      <c r="K97" s="46">
        <f t="shared" si="42"/>
        <v>1.81</v>
      </c>
    </row>
    <row r="98" spans="1:18" x14ac:dyDescent="0.25">
      <c r="H98" s="27" t="s">
        <v>53</v>
      </c>
      <c r="I98" s="46">
        <f t="shared" si="40"/>
        <v>1.6800000000000002</v>
      </c>
      <c r="J98" s="46">
        <f t="shared" si="41"/>
        <v>1.7900000000000003</v>
      </c>
      <c r="K98" s="46">
        <f t="shared" si="42"/>
        <v>1.62</v>
      </c>
    </row>
    <row r="99" spans="1:18" ht="15.75" x14ac:dyDescent="0.25">
      <c r="C99" s="18" t="s">
        <v>82</v>
      </c>
      <c r="H99" s="27" t="s">
        <v>55</v>
      </c>
      <c r="I99" s="46">
        <f t="shared" si="40"/>
        <v>1.5800000000000003</v>
      </c>
      <c r="J99" s="46">
        <f t="shared" si="41"/>
        <v>1.61</v>
      </c>
      <c r="K99" s="46">
        <f t="shared" si="42"/>
        <v>1.5300000000000002</v>
      </c>
    </row>
    <row r="100" spans="1:18" x14ac:dyDescent="0.25">
      <c r="H100" s="27" t="s">
        <v>56</v>
      </c>
      <c r="I100" s="46">
        <f t="shared" si="40"/>
        <v>1.6900000000000002</v>
      </c>
      <c r="J100" s="46">
        <f t="shared" si="41"/>
        <v>1.7200000000000002</v>
      </c>
      <c r="K100" s="46">
        <f t="shared" si="42"/>
        <v>1.83</v>
      </c>
    </row>
    <row r="101" spans="1:18" x14ac:dyDescent="0.25">
      <c r="A101" s="19" t="s">
        <v>13</v>
      </c>
      <c r="B101" s="20">
        <v>2</v>
      </c>
      <c r="C101" s="21"/>
      <c r="D101" s="21"/>
      <c r="E101" s="21"/>
      <c r="F101" s="21"/>
      <c r="G101" s="21"/>
      <c r="H101" s="27" t="s">
        <v>57</v>
      </c>
      <c r="I101" s="46">
        <f t="shared" si="40"/>
        <v>1.84</v>
      </c>
      <c r="J101" s="46">
        <f t="shared" si="41"/>
        <v>1.81</v>
      </c>
      <c r="K101" s="46">
        <f t="shared" si="42"/>
        <v>1.7700000000000002</v>
      </c>
      <c r="L101" s="21"/>
      <c r="M101" s="22"/>
      <c r="N101" s="22"/>
      <c r="O101" s="21"/>
      <c r="P101" s="21"/>
    </row>
    <row r="102" spans="1:18" x14ac:dyDescent="0.25">
      <c r="A102" s="19" t="s">
        <v>14</v>
      </c>
      <c r="B102" s="20">
        <v>9</v>
      </c>
      <c r="C102" s="21" t="s">
        <v>15</v>
      </c>
      <c r="D102" s="21">
        <v>18</v>
      </c>
      <c r="E102" s="21"/>
      <c r="F102" s="21"/>
      <c r="G102" s="21"/>
      <c r="H102" s="27" t="s">
        <v>58</v>
      </c>
      <c r="I102" s="46">
        <f t="shared" si="40"/>
        <v>1.56</v>
      </c>
      <c r="J102" s="46">
        <f t="shared" si="41"/>
        <v>1.59</v>
      </c>
      <c r="K102" s="46">
        <f t="shared" si="42"/>
        <v>1.57</v>
      </c>
      <c r="L102" s="21"/>
      <c r="M102" s="22"/>
      <c r="N102" s="22"/>
      <c r="O102" s="21"/>
      <c r="P102" s="21"/>
    </row>
    <row r="103" spans="1:18" x14ac:dyDescent="0.25">
      <c r="A103" s="15" t="s">
        <v>16</v>
      </c>
      <c r="B103" s="23">
        <v>3</v>
      </c>
      <c r="I103" s="46">
        <f t="shared" ref="I103:I104" si="44">B89+0.11</f>
        <v>1.6600000000000001</v>
      </c>
      <c r="J103" s="46">
        <f t="shared" ref="J103:J104" si="45">C89+0.11</f>
        <v>1.61</v>
      </c>
      <c r="K103" s="46">
        <f t="shared" ref="K103:K104" si="46">D89+0.11</f>
        <v>1.6400000000000001</v>
      </c>
    </row>
    <row r="104" spans="1:18" x14ac:dyDescent="0.25">
      <c r="A104" s="24" t="s">
        <v>0</v>
      </c>
      <c r="B104" s="25" t="s">
        <v>17</v>
      </c>
      <c r="C104" s="25" t="s">
        <v>18</v>
      </c>
      <c r="D104" s="25" t="s">
        <v>19</v>
      </c>
      <c r="E104" s="25" t="s">
        <v>20</v>
      </c>
      <c r="F104" s="25" t="s">
        <v>11</v>
      </c>
      <c r="I104" s="46">
        <f t="shared" si="44"/>
        <v>1.4800000000000002</v>
      </c>
      <c r="J104" s="46">
        <f t="shared" si="45"/>
        <v>1.56</v>
      </c>
      <c r="K104" s="46">
        <f t="shared" si="46"/>
        <v>1.59</v>
      </c>
      <c r="O104" s="16" t="s">
        <v>21</v>
      </c>
      <c r="R104" s="16"/>
    </row>
    <row r="105" spans="1:18" x14ac:dyDescent="0.25">
      <c r="A105" s="27" t="s">
        <v>22</v>
      </c>
      <c r="B105" s="45">
        <v>1.42</v>
      </c>
      <c r="C105" s="45">
        <v>1.79</v>
      </c>
      <c r="D105" s="45">
        <v>1.56</v>
      </c>
      <c r="E105" s="28">
        <f>SUM(B105:D105)</f>
        <v>4.7699999999999996</v>
      </c>
      <c r="F105" s="28">
        <f>E105/3</f>
        <v>1.5899999999999999</v>
      </c>
      <c r="H105" s="29"/>
      <c r="I105" s="29"/>
      <c r="J105" s="29" t="s">
        <v>23</v>
      </c>
      <c r="K105" s="29"/>
      <c r="L105" s="29"/>
      <c r="M105" s="29"/>
      <c r="N105" s="29"/>
      <c r="O105" s="30">
        <v>1</v>
      </c>
      <c r="P105" s="33">
        <f>SUM(F105:F113)/9</f>
        <v>1.8218518518518521</v>
      </c>
      <c r="Q105" s="31">
        <f>RANK(P105,P$105:P$106,0)</f>
        <v>1</v>
      </c>
      <c r="R105" s="16"/>
    </row>
    <row r="106" spans="1:18" x14ac:dyDescent="0.25">
      <c r="A106" s="27" t="s">
        <v>24</v>
      </c>
      <c r="B106" s="45">
        <v>1.66</v>
      </c>
      <c r="C106" s="45">
        <v>1.99</v>
      </c>
      <c r="D106" s="45">
        <v>1.95</v>
      </c>
      <c r="E106" s="28">
        <f t="shared" ref="E106:E122" si="47">SUM(B106:D106)</f>
        <v>5.6</v>
      </c>
      <c r="F106" s="28">
        <f t="shared" ref="F106:F119" si="48">E106/3</f>
        <v>1.8666666666666665</v>
      </c>
      <c r="G106" s="28"/>
      <c r="H106" s="25" t="s">
        <v>25</v>
      </c>
      <c r="I106" s="25" t="s">
        <v>26</v>
      </c>
      <c r="J106" s="25" t="s">
        <v>27</v>
      </c>
      <c r="K106" s="25" t="s">
        <v>28</v>
      </c>
      <c r="L106" s="25" t="s">
        <v>29</v>
      </c>
      <c r="M106" s="25" t="s">
        <v>30</v>
      </c>
      <c r="N106" s="32"/>
      <c r="O106" s="30">
        <v>2</v>
      </c>
      <c r="P106" s="33">
        <f>SUM(F114:F122)/9</f>
        <v>1.6485185185185187</v>
      </c>
      <c r="Q106" s="31">
        <f>RANK(P106,P$105:P$106,0)</f>
        <v>2</v>
      </c>
      <c r="R106" s="16"/>
    </row>
    <row r="107" spans="1:18" x14ac:dyDescent="0.25">
      <c r="A107" s="27" t="s">
        <v>31</v>
      </c>
      <c r="B107" s="45">
        <v>1.79</v>
      </c>
      <c r="C107" s="45">
        <v>1.99</v>
      </c>
      <c r="D107" s="45">
        <v>1.9000000000000004</v>
      </c>
      <c r="E107" s="28">
        <f t="shared" si="47"/>
        <v>5.6800000000000006</v>
      </c>
      <c r="F107" s="28">
        <f t="shared" si="48"/>
        <v>1.8933333333333335</v>
      </c>
      <c r="G107" s="28" t="s">
        <v>32</v>
      </c>
      <c r="H107" s="28">
        <f>B103-1</f>
        <v>2</v>
      </c>
      <c r="I107" s="28">
        <f>D126</f>
        <v>0.10173703703702586</v>
      </c>
      <c r="J107" s="28">
        <f>I107/H107</f>
        <v>5.0868518518512928E-2</v>
      </c>
      <c r="K107" s="28">
        <f>J107/$J$16</f>
        <v>3.2922750442399731</v>
      </c>
      <c r="L107" s="28">
        <f>FINV(0.05,H107,$H$16)</f>
        <v>3.275897990672394</v>
      </c>
      <c r="M107" s="28" t="str">
        <f>IF(K107&gt;=L107, "S", "NS")</f>
        <v>S</v>
      </c>
      <c r="N107" s="21"/>
      <c r="O107" s="25" t="s">
        <v>33</v>
      </c>
      <c r="P107" s="33">
        <f>SQRT(J112/(3*9))</f>
        <v>2.2025179431921855E-2</v>
      </c>
      <c r="R107" s="16"/>
    </row>
    <row r="108" spans="1:18" x14ac:dyDescent="0.25">
      <c r="A108" s="27" t="s">
        <v>34</v>
      </c>
      <c r="B108" s="45">
        <v>1.7700000000000002</v>
      </c>
      <c r="C108" s="45">
        <v>1.7900000000000003</v>
      </c>
      <c r="D108" s="45">
        <v>1.7600000000000002</v>
      </c>
      <c r="E108" s="28">
        <f t="shared" si="47"/>
        <v>5.32</v>
      </c>
      <c r="F108" s="28">
        <f t="shared" si="48"/>
        <v>1.7733333333333334</v>
      </c>
      <c r="G108" s="28" t="s">
        <v>35</v>
      </c>
      <c r="H108" s="28">
        <f>D102-1</f>
        <v>17</v>
      </c>
      <c r="I108" s="28">
        <f>B127</f>
        <v>1.0274814814814874</v>
      </c>
      <c r="J108" s="28">
        <f t="shared" ref="J108:J112" si="49">I108/H108</f>
        <v>6.0440087145969851E-2</v>
      </c>
      <c r="K108" s="28">
        <f>J108/$J$16</f>
        <v>3.9117591071567692</v>
      </c>
      <c r="L108" s="28">
        <f>FINV(0.05,H108,$H$16)</f>
        <v>1.9332068318040869</v>
      </c>
      <c r="M108" s="34" t="str">
        <f t="shared" ref="M108" si="50">IF(K108&gt;=L108, "S", "NS")</f>
        <v>S</v>
      </c>
      <c r="N108" s="25" t="s">
        <v>36</v>
      </c>
      <c r="O108" s="25" t="s">
        <v>37</v>
      </c>
      <c r="P108" s="33">
        <f>SQRT((2*J112)/(3*9))*L113</f>
        <v>6.3300976822978736E-2</v>
      </c>
      <c r="R108" s="16"/>
    </row>
    <row r="109" spans="1:18" x14ac:dyDescent="0.25">
      <c r="A109" s="27" t="s">
        <v>38</v>
      </c>
      <c r="B109" s="45">
        <v>1.91</v>
      </c>
      <c r="C109" s="45">
        <v>1.65</v>
      </c>
      <c r="D109" s="45">
        <v>1.96</v>
      </c>
      <c r="E109" s="28">
        <f t="shared" si="47"/>
        <v>5.52</v>
      </c>
      <c r="F109" s="28">
        <f t="shared" si="48"/>
        <v>1.8399999999999999</v>
      </c>
      <c r="G109" s="28" t="s">
        <v>39</v>
      </c>
      <c r="H109" s="28">
        <f>B101-1</f>
        <v>1</v>
      </c>
      <c r="I109" s="28">
        <f>(SUM(E105:E113)^2+SUM(E114:E122)^2)/27-B125</f>
        <v>0.40560000000004948</v>
      </c>
      <c r="J109" s="28">
        <f t="shared" si="49"/>
        <v>0.40560000000004948</v>
      </c>
      <c r="K109" s="28">
        <f>J109/$J$16</f>
        <v>26.250946495678146</v>
      </c>
      <c r="L109" s="28">
        <f>FINV(0.05,H109,$H$16)</f>
        <v>4.1300177456520188</v>
      </c>
      <c r="M109" s="28" t="str">
        <f>IF(K109&gt;=L109, "S", "NS")</f>
        <v>S</v>
      </c>
      <c r="N109" s="21"/>
      <c r="O109" s="30">
        <v>1</v>
      </c>
      <c r="P109" s="33">
        <f>(F105+F114)/2</f>
        <v>1.54</v>
      </c>
      <c r="Q109" s="31">
        <f>RANK(P109,P$109:P$117,0)</f>
        <v>9</v>
      </c>
      <c r="R109" s="35">
        <v>9</v>
      </c>
    </row>
    <row r="110" spans="1:18" x14ac:dyDescent="0.25">
      <c r="A110" s="27" t="s">
        <v>40</v>
      </c>
      <c r="B110" s="45">
        <v>2.02</v>
      </c>
      <c r="C110" s="45">
        <v>1.9600000000000002</v>
      </c>
      <c r="D110" s="45">
        <v>2.06</v>
      </c>
      <c r="E110" s="28">
        <f t="shared" si="47"/>
        <v>6.0400000000000009</v>
      </c>
      <c r="F110" s="28">
        <f t="shared" si="48"/>
        <v>2.0133333333333336</v>
      </c>
      <c r="G110" s="28" t="s">
        <v>41</v>
      </c>
      <c r="H110" s="28">
        <f>B102-1</f>
        <v>8</v>
      </c>
      <c r="I110" s="28">
        <f>((E105+E114)^2+(E106+E115)^2+(E107+E116)^2+(E108+E117)^2+(E109+E118)^2+(E110+E119)^2+(E111+E120)^2+(E112+E121)^2+(E113+E122)^2/6)-B125</f>
        <v>735.55386481481492</v>
      </c>
      <c r="J110" s="28">
        <f t="shared" si="49"/>
        <v>91.944233101851864</v>
      </c>
      <c r="K110" s="28">
        <f>J110/$J$16</f>
        <v>5950.7473958150358</v>
      </c>
      <c r="L110" s="28">
        <f>FINV(0.05,H110,$H$16)</f>
        <v>2.2253399674380931</v>
      </c>
      <c r="M110" s="28" t="str">
        <f>IF(K110&gt;=L110, "S", "NS")</f>
        <v>S</v>
      </c>
      <c r="N110" s="21"/>
      <c r="O110" s="30">
        <v>2</v>
      </c>
      <c r="P110" s="33">
        <f t="shared" ref="P110:P117" si="51">(F106+F115)/2</f>
        <v>1.8183333333333334</v>
      </c>
      <c r="Q110" s="31">
        <f t="shared" ref="Q110:Q117" si="52">RANK(P110,P$109:P$117,0)</f>
        <v>2</v>
      </c>
      <c r="R110" s="37">
        <v>5</v>
      </c>
    </row>
    <row r="111" spans="1:18" x14ac:dyDescent="0.25">
      <c r="A111" s="27" t="s">
        <v>42</v>
      </c>
      <c r="B111" s="45">
        <v>1.7</v>
      </c>
      <c r="C111" s="45">
        <v>1.8300000000000003</v>
      </c>
      <c r="D111" s="45">
        <v>1.95</v>
      </c>
      <c r="E111" s="28">
        <f t="shared" si="47"/>
        <v>5.48</v>
      </c>
      <c r="F111" s="28">
        <f t="shared" si="48"/>
        <v>1.8266666666666669</v>
      </c>
      <c r="G111" s="38" t="s">
        <v>43</v>
      </c>
      <c r="H111" s="28">
        <f>H109*H110</f>
        <v>8</v>
      </c>
      <c r="I111" s="28">
        <f>I108-(I109+I110)</f>
        <v>-734.93198333333351</v>
      </c>
      <c r="J111" s="28">
        <f t="shared" si="49"/>
        <v>-91.866497916666688</v>
      </c>
      <c r="K111" s="39">
        <f>J111/$J$16</f>
        <v>-5945.7162760242882</v>
      </c>
      <c r="L111" s="28">
        <f>FINV(0.05,H111,$H$16)</f>
        <v>2.2253399674380931</v>
      </c>
      <c r="M111" s="28" t="str">
        <f t="shared" ref="M111" si="53">IF(K111&gt;=L111, "S", "NS")</f>
        <v>NS</v>
      </c>
      <c r="N111" s="21"/>
      <c r="O111" s="30">
        <v>3</v>
      </c>
      <c r="P111" s="33">
        <f t="shared" si="51"/>
        <v>1.7950000000000004</v>
      </c>
      <c r="Q111" s="31">
        <f t="shared" si="52"/>
        <v>3</v>
      </c>
      <c r="R111" s="37">
        <v>2</v>
      </c>
    </row>
    <row r="112" spans="1:18" x14ac:dyDescent="0.25">
      <c r="A112" s="27" t="s">
        <v>44</v>
      </c>
      <c r="B112" s="45">
        <v>1.8900000000000003</v>
      </c>
      <c r="C112" s="45">
        <v>1.7800000000000002</v>
      </c>
      <c r="D112" s="45">
        <v>1.8900000000000003</v>
      </c>
      <c r="E112" s="28">
        <f t="shared" si="47"/>
        <v>5.5600000000000014</v>
      </c>
      <c r="F112" s="28">
        <f t="shared" si="48"/>
        <v>1.8533333333333337</v>
      </c>
      <c r="G112" s="40" t="s">
        <v>45</v>
      </c>
      <c r="H112" s="28">
        <f>((B103-1)*(B101*B102-1))</f>
        <v>34</v>
      </c>
      <c r="I112" s="28">
        <f>D127</f>
        <v>0.44532962962966849</v>
      </c>
      <c r="J112" s="28">
        <f t="shared" si="49"/>
        <v>1.3097930283225544E-2</v>
      </c>
      <c r="O112" s="30">
        <v>4</v>
      </c>
      <c r="P112" s="33">
        <f t="shared" si="51"/>
        <v>1.6733333333333333</v>
      </c>
      <c r="Q112" s="31">
        <f t="shared" si="52"/>
        <v>7</v>
      </c>
      <c r="R112" s="37">
        <v>7</v>
      </c>
    </row>
    <row r="113" spans="1:18" x14ac:dyDescent="0.25">
      <c r="A113" s="27" t="s">
        <v>46</v>
      </c>
      <c r="B113" s="45">
        <v>1.7600000000000002</v>
      </c>
      <c r="C113" s="45">
        <v>1.63</v>
      </c>
      <c r="D113" s="45">
        <v>1.83</v>
      </c>
      <c r="E113" s="28">
        <f t="shared" si="47"/>
        <v>5.2200000000000006</v>
      </c>
      <c r="F113" s="28">
        <f t="shared" si="48"/>
        <v>1.7400000000000002</v>
      </c>
      <c r="G113" s="39" t="s">
        <v>20</v>
      </c>
      <c r="H113" s="28">
        <f>SUM(H107:H112)-H108</f>
        <v>53</v>
      </c>
      <c r="I113" s="28">
        <f>B126</f>
        <v>1.5745481481481818</v>
      </c>
      <c r="K113" s="28" t="s">
        <v>47</v>
      </c>
      <c r="L113" s="16">
        <f>TINV(0.05,34)</f>
        <v>2.0322445093177191</v>
      </c>
      <c r="O113" s="30">
        <v>5</v>
      </c>
      <c r="P113" s="33">
        <f t="shared" si="51"/>
        <v>1.7933333333333334</v>
      </c>
      <c r="Q113" s="31">
        <f t="shared" si="52"/>
        <v>4</v>
      </c>
      <c r="R113" s="35">
        <v>3</v>
      </c>
    </row>
    <row r="114" spans="1:18" x14ac:dyDescent="0.25">
      <c r="A114" s="27" t="s">
        <v>48</v>
      </c>
      <c r="B114" s="45">
        <v>1.4800000000000002</v>
      </c>
      <c r="C114" s="45">
        <v>1.4</v>
      </c>
      <c r="D114" s="45">
        <v>1.59</v>
      </c>
      <c r="E114" s="28">
        <f t="shared" si="47"/>
        <v>4.47</v>
      </c>
      <c r="F114" s="28">
        <f t="shared" si="48"/>
        <v>1.49</v>
      </c>
      <c r="G114" s="42" t="s">
        <v>33</v>
      </c>
      <c r="H114" s="28">
        <f>SQRT(J112/3)</f>
        <v>6.6075538295765568E-2</v>
      </c>
      <c r="O114" s="30">
        <v>6</v>
      </c>
      <c r="P114" s="33">
        <f t="shared" si="51"/>
        <v>1.9100000000000001</v>
      </c>
      <c r="Q114" s="31">
        <f t="shared" si="52"/>
        <v>1</v>
      </c>
      <c r="R114" s="37">
        <v>1</v>
      </c>
    </row>
    <row r="115" spans="1:18" x14ac:dyDescent="0.25">
      <c r="A115" s="27" t="s">
        <v>49</v>
      </c>
      <c r="B115" s="45">
        <v>1.79</v>
      </c>
      <c r="C115" s="45">
        <v>1.61</v>
      </c>
      <c r="D115" s="45">
        <v>1.91</v>
      </c>
      <c r="E115" s="28">
        <f t="shared" si="47"/>
        <v>5.3100000000000005</v>
      </c>
      <c r="F115" s="28">
        <f t="shared" si="48"/>
        <v>1.7700000000000002</v>
      </c>
      <c r="G115" s="42" t="s">
        <v>37</v>
      </c>
      <c r="H115" s="28">
        <f>(SQRT((2*J112)/3))*L113</f>
        <v>0.18990293046893625</v>
      </c>
      <c r="O115" s="30">
        <v>7</v>
      </c>
      <c r="P115" s="33">
        <f t="shared" si="51"/>
        <v>1.7000000000000002</v>
      </c>
      <c r="Q115" s="31">
        <f t="shared" si="52"/>
        <v>6</v>
      </c>
      <c r="R115" s="37">
        <v>6</v>
      </c>
    </row>
    <row r="116" spans="1:18" x14ac:dyDescent="0.25">
      <c r="A116" s="27" t="s">
        <v>50</v>
      </c>
      <c r="B116" s="45">
        <v>1.6800000000000002</v>
      </c>
      <c r="C116" s="45">
        <v>1.59</v>
      </c>
      <c r="D116" s="45">
        <v>1.82</v>
      </c>
      <c r="E116" s="28">
        <f t="shared" si="47"/>
        <v>5.0900000000000007</v>
      </c>
      <c r="F116" s="28">
        <f t="shared" si="48"/>
        <v>1.696666666666667</v>
      </c>
      <c r="G116" s="42" t="s">
        <v>51</v>
      </c>
      <c r="H116" s="28">
        <f>((SQRT(J112))/F123)*100</f>
        <v>6.5956181762533266</v>
      </c>
      <c r="O116" s="30">
        <v>8</v>
      </c>
      <c r="P116" s="33">
        <f t="shared" si="51"/>
        <v>1.7450000000000001</v>
      </c>
      <c r="Q116" s="31">
        <f t="shared" si="52"/>
        <v>5</v>
      </c>
      <c r="R116" s="35">
        <v>4</v>
      </c>
    </row>
    <row r="117" spans="1:18" x14ac:dyDescent="0.25">
      <c r="A117" s="27" t="s">
        <v>52</v>
      </c>
      <c r="B117" s="45">
        <v>1.5800000000000003</v>
      </c>
      <c r="C117" s="45">
        <v>1.61</v>
      </c>
      <c r="D117" s="45">
        <v>1.5300000000000002</v>
      </c>
      <c r="E117" s="28">
        <f t="shared" si="47"/>
        <v>4.7200000000000006</v>
      </c>
      <c r="F117" s="28">
        <f t="shared" si="48"/>
        <v>1.5733333333333335</v>
      </c>
      <c r="O117" s="30">
        <v>9</v>
      </c>
      <c r="P117" s="33">
        <f t="shared" si="51"/>
        <v>1.6416666666666666</v>
      </c>
      <c r="Q117" s="31">
        <f t="shared" si="52"/>
        <v>8</v>
      </c>
      <c r="R117" s="37">
        <v>8</v>
      </c>
    </row>
    <row r="118" spans="1:18" x14ac:dyDescent="0.25">
      <c r="A118" s="27" t="s">
        <v>53</v>
      </c>
      <c r="B118" s="45">
        <v>1.49</v>
      </c>
      <c r="C118" s="45">
        <v>1.92</v>
      </c>
      <c r="D118" s="45">
        <v>1.83</v>
      </c>
      <c r="E118" s="28">
        <f t="shared" si="47"/>
        <v>5.24</v>
      </c>
      <c r="F118" s="28">
        <f t="shared" si="48"/>
        <v>1.7466666666666668</v>
      </c>
      <c r="O118" s="25" t="s">
        <v>33</v>
      </c>
      <c r="P118" s="33">
        <f>SQRT(J112/(3*2))</f>
        <v>4.6722461199487246E-2</v>
      </c>
      <c r="Q118" s="31"/>
    </row>
    <row r="119" spans="1:18" x14ac:dyDescent="0.25">
      <c r="A119" s="27" t="s">
        <v>55</v>
      </c>
      <c r="B119" s="45">
        <v>1.84</v>
      </c>
      <c r="C119" s="45">
        <v>1.61</v>
      </c>
      <c r="D119" s="45">
        <v>1.97</v>
      </c>
      <c r="E119" s="28">
        <f t="shared" si="47"/>
        <v>5.42</v>
      </c>
      <c r="F119" s="28">
        <f t="shared" si="48"/>
        <v>1.8066666666666666</v>
      </c>
      <c r="N119" s="25" t="s">
        <v>41</v>
      </c>
      <c r="O119" s="25" t="s">
        <v>37</v>
      </c>
      <c r="P119" s="33">
        <f>SQRT((2*J112)/(3*2))*L113</f>
        <v>0.13428164990178226</v>
      </c>
      <c r="Q119" s="31"/>
    </row>
    <row r="120" spans="1:18" x14ac:dyDescent="0.25">
      <c r="A120" s="27" t="s">
        <v>56</v>
      </c>
      <c r="B120" s="45">
        <v>1.56</v>
      </c>
      <c r="C120" s="45">
        <v>1.59</v>
      </c>
      <c r="D120" s="45">
        <v>1.57</v>
      </c>
      <c r="E120" s="28">
        <f t="shared" si="47"/>
        <v>4.7200000000000006</v>
      </c>
      <c r="F120" s="28">
        <f>E120/3</f>
        <v>1.5733333333333335</v>
      </c>
      <c r="Q120" s="31"/>
    </row>
    <row r="121" spans="1:18" x14ac:dyDescent="0.25">
      <c r="A121" s="27" t="s">
        <v>57</v>
      </c>
      <c r="B121" s="45">
        <v>1.6600000000000001</v>
      </c>
      <c r="C121" s="45">
        <v>1.61</v>
      </c>
      <c r="D121" s="45">
        <v>1.6400000000000001</v>
      </c>
      <c r="E121" s="28">
        <f t="shared" si="47"/>
        <v>4.91</v>
      </c>
      <c r="F121" s="28">
        <f t="shared" ref="F121:F122" si="54">E121/3</f>
        <v>1.6366666666666667</v>
      </c>
    </row>
    <row r="122" spans="1:18" x14ac:dyDescent="0.25">
      <c r="A122" s="27" t="s">
        <v>58</v>
      </c>
      <c r="B122" s="45">
        <v>1.4800000000000002</v>
      </c>
      <c r="C122" s="45">
        <v>1.56</v>
      </c>
      <c r="D122" s="45">
        <v>1.59</v>
      </c>
      <c r="E122" s="28">
        <f t="shared" si="47"/>
        <v>4.63</v>
      </c>
      <c r="F122" s="28">
        <f t="shared" si="54"/>
        <v>1.5433333333333332</v>
      </c>
    </row>
    <row r="123" spans="1:18" x14ac:dyDescent="0.25">
      <c r="A123" s="25" t="s">
        <v>20</v>
      </c>
      <c r="B123" s="28">
        <f>SUM(B105:B122)</f>
        <v>30.479999999999997</v>
      </c>
      <c r="C123" s="28">
        <f t="shared" ref="C123:D123" si="55">SUM(C105:C122)</f>
        <v>30.909999999999997</v>
      </c>
      <c r="D123" s="28">
        <f t="shared" si="55"/>
        <v>32.31</v>
      </c>
      <c r="E123" s="28">
        <f>SUM(E105:E122)</f>
        <v>93.699999999999989</v>
      </c>
      <c r="F123" s="28">
        <f>AVERAGE(B105:D122)</f>
        <v>1.7351851851851852</v>
      </c>
    </row>
    <row r="124" spans="1:18" x14ac:dyDescent="0.25">
      <c r="A124" s="25" t="s">
        <v>11</v>
      </c>
      <c r="B124" s="28">
        <f>B123/18</f>
        <v>1.6933333333333331</v>
      </c>
      <c r="C124" s="28">
        <f>C123/18</f>
        <v>1.717222222222222</v>
      </c>
      <c r="D124" s="28">
        <f>D123/18</f>
        <v>1.7950000000000002</v>
      </c>
    </row>
    <row r="125" spans="1:18" x14ac:dyDescent="0.25">
      <c r="A125" s="25" t="s">
        <v>59</v>
      </c>
      <c r="B125" s="28">
        <f>(E123*E123)/54</f>
        <v>162.58685185185183</v>
      </c>
      <c r="C125" s="28"/>
      <c r="D125" s="28"/>
    </row>
    <row r="126" spans="1:18" x14ac:dyDescent="0.25">
      <c r="A126" s="25" t="s">
        <v>60</v>
      </c>
      <c r="B126" s="28">
        <f>SUMSQ(B105:D122)-B125</f>
        <v>1.5745481481481818</v>
      </c>
      <c r="C126" s="25" t="s">
        <v>61</v>
      </c>
      <c r="D126" s="28">
        <f>(SUMSQ(B123:D123)/18)-B125</f>
        <v>0.10173703703702586</v>
      </c>
    </row>
    <row r="127" spans="1:18" x14ac:dyDescent="0.25">
      <c r="A127" s="25" t="s">
        <v>62</v>
      </c>
      <c r="B127" s="28">
        <f>(SUMSQ(E105:E122)/3)-B125</f>
        <v>1.0274814814814874</v>
      </c>
      <c r="C127" s="25" t="s">
        <v>63</v>
      </c>
      <c r="D127" s="28">
        <f>B126-B127-D126</f>
        <v>0.44532962962966849</v>
      </c>
    </row>
    <row r="131" spans="1:21" x14ac:dyDescent="0.25">
      <c r="C131" s="17">
        <v>2019</v>
      </c>
    </row>
    <row r="132" spans="1:21" ht="15.75" x14ac:dyDescent="0.25">
      <c r="C132" s="50" t="s">
        <v>78</v>
      </c>
    </row>
    <row r="133" spans="1:21" x14ac:dyDescent="0.25">
      <c r="C133" s="51" t="s">
        <v>79</v>
      </c>
    </row>
    <row r="134" spans="1:21" x14ac:dyDescent="0.25">
      <c r="A134" s="19" t="s">
        <v>13</v>
      </c>
      <c r="B134" s="20">
        <v>2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2"/>
      <c r="N134" s="22"/>
      <c r="O134" s="21"/>
      <c r="P134" s="21"/>
    </row>
    <row r="135" spans="1:21" x14ac:dyDescent="0.25">
      <c r="A135" s="19" t="s">
        <v>14</v>
      </c>
      <c r="B135" s="20">
        <v>9</v>
      </c>
      <c r="C135" s="21" t="s">
        <v>15</v>
      </c>
      <c r="D135" s="21">
        <v>18</v>
      </c>
      <c r="E135" s="21"/>
      <c r="F135" s="21"/>
      <c r="G135" s="21"/>
      <c r="H135" s="21"/>
      <c r="I135" s="21"/>
      <c r="J135" s="21"/>
      <c r="K135" s="21"/>
      <c r="L135" s="21"/>
      <c r="M135" s="22"/>
      <c r="N135" s="22"/>
      <c r="O135" s="21"/>
      <c r="P135" s="21"/>
    </row>
    <row r="136" spans="1:21" x14ac:dyDescent="0.25">
      <c r="A136" s="15" t="s">
        <v>16</v>
      </c>
      <c r="B136" s="23">
        <v>3</v>
      </c>
    </row>
    <row r="137" spans="1:21" x14ac:dyDescent="0.25">
      <c r="A137" s="24" t="s">
        <v>0</v>
      </c>
      <c r="B137" s="25" t="s">
        <v>17</v>
      </c>
      <c r="C137" s="25" t="s">
        <v>18</v>
      </c>
      <c r="D137" s="25" t="s">
        <v>19</v>
      </c>
      <c r="E137" s="25" t="s">
        <v>20</v>
      </c>
      <c r="F137" s="25" t="s">
        <v>11</v>
      </c>
      <c r="O137" s="16" t="s">
        <v>21</v>
      </c>
      <c r="S137" s="26">
        <v>2019</v>
      </c>
      <c r="T137" s="26"/>
      <c r="U137" s="26"/>
    </row>
    <row r="138" spans="1:21" x14ac:dyDescent="0.25">
      <c r="A138" s="27" t="s">
        <v>22</v>
      </c>
      <c r="B138" s="7">
        <v>1.32</v>
      </c>
      <c r="C138" s="7">
        <v>1.35</v>
      </c>
      <c r="D138" s="7">
        <v>1.37</v>
      </c>
      <c r="E138" s="33">
        <f t="shared" ref="E138:E155" si="56">SUM(B138:D138)</f>
        <v>4.04</v>
      </c>
      <c r="F138" s="33">
        <f>E138/3</f>
        <v>1.3466666666666667</v>
      </c>
      <c r="H138" s="29"/>
      <c r="I138" s="29"/>
      <c r="J138" s="29" t="s">
        <v>23</v>
      </c>
      <c r="K138" s="29"/>
      <c r="L138" s="29"/>
      <c r="M138" s="29"/>
      <c r="N138" s="29"/>
      <c r="O138" s="30">
        <v>1</v>
      </c>
      <c r="P138" s="33">
        <f>SUM(F138:F146)/9</f>
        <v>1.5814814814814815</v>
      </c>
      <c r="Q138" s="31" t="e">
        <f>RANK(P138,P$9:P$10,0)</f>
        <v>#N/A</v>
      </c>
      <c r="S138" s="26">
        <f>P138*1835</f>
        <v>2902.0185185185187</v>
      </c>
      <c r="T138" s="26"/>
      <c r="U138" s="26"/>
    </row>
    <row r="139" spans="1:21" x14ac:dyDescent="0.25">
      <c r="A139" s="27" t="s">
        <v>24</v>
      </c>
      <c r="B139" s="7">
        <v>1.62</v>
      </c>
      <c r="C139" s="7">
        <v>1.65</v>
      </c>
      <c r="D139" s="7">
        <v>1.61</v>
      </c>
      <c r="E139" s="33">
        <f t="shared" si="56"/>
        <v>4.88</v>
      </c>
      <c r="F139" s="33">
        <f t="shared" ref="F139:F152" si="57">E139/3</f>
        <v>1.6266666666666667</v>
      </c>
      <c r="G139" s="28"/>
      <c r="H139" s="25" t="s">
        <v>25</v>
      </c>
      <c r="I139" s="25" t="s">
        <v>26</v>
      </c>
      <c r="J139" s="25" t="s">
        <v>27</v>
      </c>
      <c r="K139" s="25" t="s">
        <v>28</v>
      </c>
      <c r="L139" s="25" t="s">
        <v>29</v>
      </c>
      <c r="M139" s="25" t="s">
        <v>30</v>
      </c>
      <c r="N139" s="32"/>
      <c r="O139" s="30">
        <v>2</v>
      </c>
      <c r="P139" s="33">
        <f>SUM(F147:F155)/9</f>
        <v>1.4785185185185183</v>
      </c>
      <c r="Q139" s="31" t="e">
        <f>RANK(P139,P$9:P$10,0)</f>
        <v>#N/A</v>
      </c>
      <c r="S139" s="26">
        <f>P139*1835</f>
        <v>2713.0814814814812</v>
      </c>
      <c r="T139" s="26"/>
      <c r="U139" s="26"/>
    </row>
    <row r="140" spans="1:21" x14ac:dyDescent="0.25">
      <c r="A140" s="27" t="s">
        <v>31</v>
      </c>
      <c r="B140" s="7">
        <v>1.6900000000000002</v>
      </c>
      <c r="C140" s="7">
        <v>1.61</v>
      </c>
      <c r="D140" s="7">
        <v>1.6600000000000001</v>
      </c>
      <c r="E140" s="33">
        <f t="shared" si="56"/>
        <v>4.9600000000000009</v>
      </c>
      <c r="F140" s="33">
        <f t="shared" si="57"/>
        <v>1.6533333333333335</v>
      </c>
      <c r="G140" s="28" t="s">
        <v>32</v>
      </c>
      <c r="H140" s="28">
        <f>B136-1</f>
        <v>2</v>
      </c>
      <c r="I140" s="28">
        <f>D159</f>
        <v>9.9111111110801176E-3</v>
      </c>
      <c r="J140" s="28">
        <f>I140/H140</f>
        <v>4.9555555555400588E-3</v>
      </c>
      <c r="K140" s="28">
        <f>J140/$J$16</f>
        <v>0.32072984157994777</v>
      </c>
      <c r="L140" s="28">
        <f>FINV(0.05,H140,$H$16)</f>
        <v>3.275897990672394</v>
      </c>
      <c r="M140" s="28" t="str">
        <f>IF(K140&gt;=L140, "S", "NS")</f>
        <v>NS</v>
      </c>
      <c r="N140" s="21"/>
      <c r="O140" s="25" t="s">
        <v>33</v>
      </c>
      <c r="P140" s="33">
        <f>SQRT(J145/(3*9))</f>
        <v>1.7035852947392887E-2</v>
      </c>
      <c r="S140" s="26"/>
      <c r="T140" s="26"/>
      <c r="U140" s="26"/>
    </row>
    <row r="141" spans="1:21" x14ac:dyDescent="0.25">
      <c r="A141" s="27" t="s">
        <v>34</v>
      </c>
      <c r="B141" s="7">
        <v>1.48</v>
      </c>
      <c r="C141" s="7">
        <v>1.5999999999999999</v>
      </c>
      <c r="D141" s="7">
        <v>1.52</v>
      </c>
      <c r="E141" s="33">
        <f t="shared" si="56"/>
        <v>4.5999999999999996</v>
      </c>
      <c r="F141" s="33">
        <f t="shared" si="57"/>
        <v>1.5333333333333332</v>
      </c>
      <c r="G141" s="28" t="s">
        <v>35</v>
      </c>
      <c r="H141" s="28">
        <f>D135-1</f>
        <v>17</v>
      </c>
      <c r="I141" s="28">
        <f>B160</f>
        <v>0.77366666666665651</v>
      </c>
      <c r="J141" s="28">
        <f t="shared" ref="J141:J145" si="58">I141/H141</f>
        <v>4.5509803921568032E-2</v>
      </c>
      <c r="K141" s="28">
        <f>J141/$J$16</f>
        <v>2.9454522381009376</v>
      </c>
      <c r="L141" s="28">
        <f>FINV(0.05,H141,$H$16)</f>
        <v>1.9332068318040869</v>
      </c>
      <c r="M141" s="34" t="str">
        <f t="shared" ref="M141" si="59">IF(K141&gt;=L141, "S", "NS")</f>
        <v>S</v>
      </c>
      <c r="N141" s="25" t="s">
        <v>36</v>
      </c>
      <c r="O141" s="25" t="s">
        <v>37</v>
      </c>
      <c r="P141" s="33">
        <f>SQRT((2*J145)/(3*9))*L146</f>
        <v>4.8961514066925102E-2</v>
      </c>
      <c r="S141" s="26"/>
      <c r="T141" s="26"/>
      <c r="U141" s="26"/>
    </row>
    <row r="142" spans="1:21" x14ac:dyDescent="0.25">
      <c r="A142" s="27" t="s">
        <v>38</v>
      </c>
      <c r="B142" s="7">
        <v>1.6700000000000002</v>
      </c>
      <c r="C142" s="7">
        <v>1.51</v>
      </c>
      <c r="D142" s="7">
        <v>1.62</v>
      </c>
      <c r="E142" s="33">
        <f t="shared" si="56"/>
        <v>4.8000000000000007</v>
      </c>
      <c r="F142" s="33">
        <f t="shared" si="57"/>
        <v>1.6000000000000003</v>
      </c>
      <c r="G142" s="28" t="s">
        <v>39</v>
      </c>
      <c r="H142" s="28">
        <f>B134-1</f>
        <v>1</v>
      </c>
      <c r="I142" s="28">
        <f>(SUM(E138:E146)^2+SUM(E147:E155)^2)/27-B158</f>
        <v>0.14311851851847734</v>
      </c>
      <c r="J142" s="28">
        <f t="shared" si="58"/>
        <v>0.14311851851847734</v>
      </c>
      <c r="K142" s="28">
        <f>J142/$J$16</f>
        <v>9.2628120615601883</v>
      </c>
      <c r="L142" s="28">
        <f>FINV(0.05,H142,$H$16)</f>
        <v>4.1300177456520188</v>
      </c>
      <c r="M142" s="28" t="str">
        <f>IF(K142&gt;=L142, "S", "NS")</f>
        <v>S</v>
      </c>
      <c r="N142" s="21"/>
      <c r="O142" s="30">
        <v>1</v>
      </c>
      <c r="P142" s="33">
        <f>(F138+F147)/2</f>
        <v>1.3333333333333335</v>
      </c>
      <c r="Q142" s="31">
        <f>RANK(P142,P$13:P$21,0)</f>
        <v>9</v>
      </c>
      <c r="R142" s="35">
        <v>9</v>
      </c>
      <c r="S142" s="36">
        <f>P142*1835</f>
        <v>2446.666666666667</v>
      </c>
      <c r="T142" s="36"/>
      <c r="U142" s="36"/>
    </row>
    <row r="143" spans="1:21" x14ac:dyDescent="0.25">
      <c r="A143" s="27" t="s">
        <v>40</v>
      </c>
      <c r="B143" s="7">
        <v>1.78</v>
      </c>
      <c r="C143" s="7">
        <v>1.67</v>
      </c>
      <c r="D143" s="7">
        <v>1.8699999999999999</v>
      </c>
      <c r="E143" s="33">
        <f t="shared" si="56"/>
        <v>5.32</v>
      </c>
      <c r="F143" s="33">
        <f t="shared" si="57"/>
        <v>1.7733333333333334</v>
      </c>
      <c r="G143" s="28" t="s">
        <v>41</v>
      </c>
      <c r="H143" s="28">
        <f>B135-1</f>
        <v>8</v>
      </c>
      <c r="I143" s="28">
        <f>((E138+E147)^2+(E139+E148)^2+(E140+E149)^2+(E141+E150)^2+(E142+E151)^2+(E143+E152)^2+(E144+E153)^2+(E145+E154)^2+(E146+E155)^2/6)-B158</f>
        <v>573.63546666666673</v>
      </c>
      <c r="J143" s="28">
        <f t="shared" si="58"/>
        <v>71.704433333333341</v>
      </c>
      <c r="K143" s="28">
        <f>J143/$J$16</f>
        <v>4640.8018810059775</v>
      </c>
      <c r="L143" s="28">
        <f>FINV(0.05,H143,$H$16)</f>
        <v>2.2253399674380931</v>
      </c>
      <c r="M143" s="28" t="str">
        <f>IF(K143&gt;=L143, "S", "NS")</f>
        <v>S</v>
      </c>
      <c r="N143" s="21"/>
      <c r="O143" s="30">
        <v>2</v>
      </c>
      <c r="P143" s="33">
        <f t="shared" ref="P143:P150" si="60">(F139+F148)/2</f>
        <v>1.6150000000000002</v>
      </c>
      <c r="Q143" s="31" t="e">
        <f t="shared" ref="Q143:Q150" si="61">RANK(P143,P$13:P$21,0)</f>
        <v>#N/A</v>
      </c>
      <c r="R143" s="37">
        <v>5</v>
      </c>
      <c r="S143" s="36">
        <f t="shared" ref="S143:S150" si="62">P143*1835</f>
        <v>2963.5250000000005</v>
      </c>
      <c r="T143" s="26"/>
      <c r="U143" s="26"/>
    </row>
    <row r="144" spans="1:21" x14ac:dyDescent="0.25">
      <c r="A144" s="27" t="s">
        <v>42</v>
      </c>
      <c r="B144" s="7">
        <v>1.56</v>
      </c>
      <c r="C144" s="7">
        <v>1.59</v>
      </c>
      <c r="D144" s="7">
        <v>1.61</v>
      </c>
      <c r="E144" s="33">
        <f t="shared" si="56"/>
        <v>4.7600000000000007</v>
      </c>
      <c r="F144" s="33">
        <f t="shared" si="57"/>
        <v>1.5866666666666669</v>
      </c>
      <c r="G144" s="38" t="s">
        <v>43</v>
      </c>
      <c r="H144" s="28">
        <f>H142*H143</f>
        <v>8</v>
      </c>
      <c r="I144" s="28">
        <f>I141-(I142+I143)</f>
        <v>-573.00491851851848</v>
      </c>
      <c r="J144" s="28">
        <f t="shared" si="58"/>
        <v>-71.62561481481481</v>
      </c>
      <c r="K144" s="39">
        <f>J144/$J$16</f>
        <v>-4635.7006465077075</v>
      </c>
      <c r="L144" s="28">
        <f>FINV(0.05,H144,$H$16)</f>
        <v>2.2253399674380931</v>
      </c>
      <c r="M144" s="28" t="str">
        <f t="shared" ref="M144" si="63">IF(K144&gt;=L144, "S", "NS")</f>
        <v>NS</v>
      </c>
      <c r="N144" s="21"/>
      <c r="O144" s="30">
        <v>3</v>
      </c>
      <c r="P144" s="33">
        <f t="shared" si="60"/>
        <v>1.59</v>
      </c>
      <c r="Q144" s="31" t="e">
        <f t="shared" si="61"/>
        <v>#N/A</v>
      </c>
      <c r="R144" s="37">
        <v>2</v>
      </c>
      <c r="S144" s="36">
        <f t="shared" si="62"/>
        <v>2917.65</v>
      </c>
      <c r="T144" s="26"/>
      <c r="U144" s="26"/>
    </row>
    <row r="145" spans="1:21" x14ac:dyDescent="0.25">
      <c r="A145" s="27" t="s">
        <v>44</v>
      </c>
      <c r="B145" s="7">
        <v>1.55</v>
      </c>
      <c r="C145" s="7">
        <v>1.64</v>
      </c>
      <c r="D145" s="7">
        <v>1.6500000000000001</v>
      </c>
      <c r="E145" s="33">
        <f t="shared" si="56"/>
        <v>4.84</v>
      </c>
      <c r="F145" s="33">
        <f t="shared" si="57"/>
        <v>1.6133333333333333</v>
      </c>
      <c r="G145" s="40" t="s">
        <v>45</v>
      </c>
      <c r="H145" s="28">
        <f>((B136-1)*(B134*B135-1))</f>
        <v>34</v>
      </c>
      <c r="I145" s="28">
        <f>D160</f>
        <v>0.26642222222228895</v>
      </c>
      <c r="J145" s="28">
        <f t="shared" si="58"/>
        <v>7.8359477124202628E-3</v>
      </c>
      <c r="O145" s="30">
        <v>4</v>
      </c>
      <c r="P145" s="33">
        <f t="shared" si="60"/>
        <v>1.4666666666666663</v>
      </c>
      <c r="Q145" s="31" t="e">
        <f t="shared" si="61"/>
        <v>#N/A</v>
      </c>
      <c r="R145" s="37">
        <v>7</v>
      </c>
      <c r="S145" s="36">
        <f t="shared" si="62"/>
        <v>2691.3333333333326</v>
      </c>
      <c r="T145" s="26"/>
      <c r="U145" s="26"/>
    </row>
    <row r="146" spans="1:21" x14ac:dyDescent="0.25">
      <c r="A146" s="27" t="s">
        <v>46</v>
      </c>
      <c r="B146" s="7">
        <v>1.52</v>
      </c>
      <c r="C146" s="7">
        <v>1.49</v>
      </c>
      <c r="D146" s="7">
        <v>1.49</v>
      </c>
      <c r="E146" s="33">
        <f t="shared" si="56"/>
        <v>4.5</v>
      </c>
      <c r="F146" s="33">
        <f t="shared" si="57"/>
        <v>1.5</v>
      </c>
      <c r="G146" s="39" t="s">
        <v>20</v>
      </c>
      <c r="H146" s="28">
        <f>SUM(H140:H145)-H141</f>
        <v>53</v>
      </c>
      <c r="I146" s="28">
        <f>B159</f>
        <v>1.0500000000000256</v>
      </c>
      <c r="K146" s="28" t="s">
        <v>47</v>
      </c>
      <c r="L146" s="16">
        <f>TINV(0.05,34)</f>
        <v>2.0322445093177191</v>
      </c>
      <c r="O146" s="30">
        <v>5</v>
      </c>
      <c r="P146" s="33">
        <f t="shared" si="60"/>
        <v>1.5883333333333336</v>
      </c>
      <c r="Q146" s="31" t="e">
        <f t="shared" si="61"/>
        <v>#N/A</v>
      </c>
      <c r="R146" s="35">
        <v>3</v>
      </c>
      <c r="S146" s="36">
        <f t="shared" si="62"/>
        <v>2914.5916666666672</v>
      </c>
      <c r="T146" s="41"/>
      <c r="U146" s="41"/>
    </row>
    <row r="147" spans="1:21" x14ac:dyDescent="0.25">
      <c r="A147" s="27" t="s">
        <v>48</v>
      </c>
      <c r="B147" s="7">
        <v>1.31</v>
      </c>
      <c r="C147" s="7">
        <v>1.33</v>
      </c>
      <c r="D147" s="7">
        <v>1.32</v>
      </c>
      <c r="E147" s="33">
        <f t="shared" si="56"/>
        <v>3.96</v>
      </c>
      <c r="F147" s="33">
        <f t="shared" si="57"/>
        <v>1.32</v>
      </c>
      <c r="G147" s="42" t="s">
        <v>33</v>
      </c>
      <c r="H147" s="28">
        <f>SQRT(J145/3)</f>
        <v>5.1107558842178664E-2</v>
      </c>
      <c r="O147" s="30">
        <v>6</v>
      </c>
      <c r="P147" s="33">
        <f t="shared" si="60"/>
        <v>1.7050000000000001</v>
      </c>
      <c r="Q147" s="31">
        <f t="shared" si="61"/>
        <v>1</v>
      </c>
      <c r="R147" s="37">
        <v>1</v>
      </c>
      <c r="S147" s="36">
        <f t="shared" si="62"/>
        <v>3128.6750000000002</v>
      </c>
      <c r="T147" s="41"/>
      <c r="U147" s="41"/>
    </row>
    <row r="148" spans="1:21" x14ac:dyDescent="0.25">
      <c r="A148" s="27" t="s">
        <v>49</v>
      </c>
      <c r="B148" s="7">
        <v>1.42</v>
      </c>
      <c r="C148" s="7">
        <v>1.49</v>
      </c>
      <c r="D148" s="7">
        <v>1.9</v>
      </c>
      <c r="E148" s="33">
        <f t="shared" si="56"/>
        <v>4.8100000000000005</v>
      </c>
      <c r="F148" s="33">
        <f t="shared" si="57"/>
        <v>1.6033333333333335</v>
      </c>
      <c r="G148" s="42" t="s">
        <v>37</v>
      </c>
      <c r="H148" s="28">
        <f>(SQRT((2*J145)/3))*L146</f>
        <v>0.14688454220077532</v>
      </c>
      <c r="O148" s="30">
        <v>7</v>
      </c>
      <c r="P148" s="33">
        <f t="shared" si="60"/>
        <v>1.4950000000000001</v>
      </c>
      <c r="Q148" s="31" t="e">
        <f t="shared" si="61"/>
        <v>#N/A</v>
      </c>
      <c r="R148" s="37">
        <v>6</v>
      </c>
      <c r="S148" s="36">
        <f t="shared" si="62"/>
        <v>2743.3250000000003</v>
      </c>
      <c r="T148" s="41"/>
      <c r="U148" s="41"/>
    </row>
    <row r="149" spans="1:21" x14ac:dyDescent="0.25">
      <c r="A149" s="27" t="s">
        <v>50</v>
      </c>
      <c r="B149" s="7">
        <v>1.51</v>
      </c>
      <c r="C149" s="7">
        <v>1.72</v>
      </c>
      <c r="D149" s="7">
        <v>1.35</v>
      </c>
      <c r="E149" s="33">
        <f t="shared" si="56"/>
        <v>4.58</v>
      </c>
      <c r="F149" s="33">
        <f t="shared" si="57"/>
        <v>1.5266666666666666</v>
      </c>
      <c r="G149" s="42" t="s">
        <v>51</v>
      </c>
      <c r="H149" s="28">
        <f>((SQRT(J145))/F156)*100</f>
        <v>5.7856789912071545</v>
      </c>
      <c r="O149" s="30">
        <v>8</v>
      </c>
      <c r="P149" s="33">
        <f t="shared" si="60"/>
        <v>1.54</v>
      </c>
      <c r="Q149" s="31">
        <f t="shared" si="61"/>
        <v>5</v>
      </c>
      <c r="R149" s="35">
        <v>4</v>
      </c>
      <c r="S149" s="36">
        <f t="shared" si="62"/>
        <v>2825.9</v>
      </c>
      <c r="T149" s="41"/>
      <c r="U149" s="41"/>
    </row>
    <row r="150" spans="1:21" x14ac:dyDescent="0.25">
      <c r="A150" s="27" t="s">
        <v>52</v>
      </c>
      <c r="B150" s="7">
        <v>1.41</v>
      </c>
      <c r="C150" s="7">
        <v>1.39</v>
      </c>
      <c r="D150" s="7">
        <v>1.4</v>
      </c>
      <c r="E150" s="33">
        <f t="shared" si="56"/>
        <v>4.1999999999999993</v>
      </c>
      <c r="F150" s="33">
        <f t="shared" si="57"/>
        <v>1.3999999999999997</v>
      </c>
      <c r="O150" s="30">
        <v>9</v>
      </c>
      <c r="P150" s="33">
        <f t="shared" si="60"/>
        <v>1.4366666666666665</v>
      </c>
      <c r="Q150" s="31" t="e">
        <f t="shared" si="61"/>
        <v>#N/A</v>
      </c>
      <c r="R150" s="37">
        <v>8</v>
      </c>
      <c r="S150" s="36">
        <f t="shared" si="62"/>
        <v>2636.2833333333333</v>
      </c>
      <c r="T150" s="41"/>
      <c r="U150" s="41"/>
    </row>
    <row r="151" spans="1:21" x14ac:dyDescent="0.25">
      <c r="A151" s="27" t="s">
        <v>53</v>
      </c>
      <c r="B151" s="7">
        <v>1.52</v>
      </c>
      <c r="C151" s="7">
        <v>1.55</v>
      </c>
      <c r="D151" s="7">
        <v>1.66</v>
      </c>
      <c r="E151" s="33">
        <f t="shared" si="56"/>
        <v>4.7300000000000004</v>
      </c>
      <c r="F151" s="33">
        <f t="shared" si="57"/>
        <v>1.5766666666666669</v>
      </c>
      <c r="H151" s="16" t="s">
        <v>54</v>
      </c>
      <c r="O151" s="25" t="s">
        <v>33</v>
      </c>
      <c r="P151" s="33">
        <f>SQRT(J145/(3*2))</f>
        <v>3.6138501427195033E-2</v>
      </c>
      <c r="Q151" s="31"/>
      <c r="S151" s="41"/>
      <c r="T151" s="41"/>
      <c r="U151" s="41"/>
    </row>
    <row r="152" spans="1:21" x14ac:dyDescent="0.25">
      <c r="A152" s="27" t="s">
        <v>55</v>
      </c>
      <c r="B152" s="7">
        <v>1.67</v>
      </c>
      <c r="C152" s="7">
        <v>1.64</v>
      </c>
      <c r="D152" s="7">
        <v>1.6</v>
      </c>
      <c r="E152" s="33">
        <f t="shared" si="56"/>
        <v>4.91</v>
      </c>
      <c r="F152" s="33">
        <f t="shared" si="57"/>
        <v>1.6366666666666667</v>
      </c>
      <c r="G152" s="43">
        <v>1</v>
      </c>
      <c r="H152" s="16">
        <f>F138-F147</f>
        <v>2.6666666666666616E-2</v>
      </c>
      <c r="I152" s="46">
        <f>B138-0.03</f>
        <v>1.29</v>
      </c>
      <c r="J152" s="46">
        <f t="shared" ref="J152:K152" si="64">C138-0.03</f>
        <v>1.32</v>
      </c>
      <c r="K152" s="46">
        <f t="shared" si="64"/>
        <v>1.34</v>
      </c>
      <c r="N152" s="25" t="s">
        <v>41</v>
      </c>
      <c r="O152" s="25" t="s">
        <v>37</v>
      </c>
      <c r="P152" s="33">
        <f>SQRT((2*J145)/(3*2))*L146</f>
        <v>0.10386305584164983</v>
      </c>
      <c r="Q152" s="31"/>
      <c r="S152" s="41"/>
      <c r="T152" s="41"/>
      <c r="U152" s="41"/>
    </row>
    <row r="153" spans="1:21" x14ac:dyDescent="0.25">
      <c r="A153" s="27" t="s">
        <v>56</v>
      </c>
      <c r="B153" s="7">
        <v>1.39</v>
      </c>
      <c r="C153" s="7">
        <v>1.42</v>
      </c>
      <c r="D153" s="7">
        <v>1.4</v>
      </c>
      <c r="E153" s="33">
        <f t="shared" si="56"/>
        <v>4.2099999999999991</v>
      </c>
      <c r="F153" s="33">
        <f>E153/3</f>
        <v>1.4033333333333331</v>
      </c>
      <c r="G153" s="43">
        <v>2</v>
      </c>
      <c r="H153" s="16">
        <f t="shared" ref="H153:H160" si="65">F139-F148</f>
        <v>2.3333333333333206E-2</v>
      </c>
      <c r="I153" s="46">
        <f t="shared" ref="I153:I160" si="66">B139-0.03</f>
        <v>1.59</v>
      </c>
      <c r="J153" s="46">
        <f t="shared" ref="J153:J160" si="67">C139-0.03</f>
        <v>1.6199999999999999</v>
      </c>
      <c r="K153" s="46">
        <f t="shared" ref="K153:K160" si="68">D139-0.03</f>
        <v>1.58</v>
      </c>
      <c r="Q153" s="31"/>
      <c r="S153" s="41"/>
      <c r="T153" s="41"/>
      <c r="U153" s="41"/>
    </row>
    <row r="154" spans="1:21" x14ac:dyDescent="0.25">
      <c r="A154" s="27" t="s">
        <v>57</v>
      </c>
      <c r="B154" s="7">
        <v>1.49</v>
      </c>
      <c r="C154" s="7">
        <v>1.43</v>
      </c>
      <c r="D154" s="7">
        <v>1.48</v>
      </c>
      <c r="E154" s="33">
        <f t="shared" si="56"/>
        <v>4.4000000000000004</v>
      </c>
      <c r="F154" s="33">
        <f t="shared" ref="F154:F155" si="69">E154/3</f>
        <v>1.4666666666666668</v>
      </c>
      <c r="G154" s="43">
        <v>3</v>
      </c>
      <c r="H154" s="16">
        <f t="shared" si="65"/>
        <v>0.12666666666666693</v>
      </c>
      <c r="I154" s="46">
        <f t="shared" si="66"/>
        <v>1.6600000000000001</v>
      </c>
      <c r="J154" s="46">
        <f t="shared" si="67"/>
        <v>1.58</v>
      </c>
      <c r="K154" s="46">
        <f t="shared" si="68"/>
        <v>1.6300000000000001</v>
      </c>
      <c r="S154" s="41"/>
      <c r="T154" s="41"/>
      <c r="U154" s="41"/>
    </row>
    <row r="155" spans="1:21" x14ac:dyDescent="0.25">
      <c r="A155" s="27" t="s">
        <v>58</v>
      </c>
      <c r="B155" s="7">
        <v>1.41</v>
      </c>
      <c r="C155" s="7">
        <v>1.34</v>
      </c>
      <c r="D155" s="7">
        <v>1.37</v>
      </c>
      <c r="E155" s="33">
        <f t="shared" si="56"/>
        <v>4.12</v>
      </c>
      <c r="F155" s="33">
        <f t="shared" si="69"/>
        <v>1.3733333333333333</v>
      </c>
      <c r="G155" s="43">
        <v>4</v>
      </c>
      <c r="H155" s="16">
        <f t="shared" si="65"/>
        <v>0.13333333333333353</v>
      </c>
      <c r="I155" s="46">
        <f t="shared" si="66"/>
        <v>1.45</v>
      </c>
      <c r="J155" s="46">
        <f t="shared" si="67"/>
        <v>1.5699999999999998</v>
      </c>
      <c r="K155" s="46">
        <f t="shared" si="68"/>
        <v>1.49</v>
      </c>
    </row>
    <row r="156" spans="1:21" x14ac:dyDescent="0.25">
      <c r="A156" s="25" t="s">
        <v>20</v>
      </c>
      <c r="B156" s="28">
        <f>SUM(B138:B155)</f>
        <v>27.32</v>
      </c>
      <c r="C156" s="28">
        <f>SUM(C138:C155)</f>
        <v>27.419999999999998</v>
      </c>
      <c r="D156" s="28">
        <f>SUM(D138:D155)</f>
        <v>27.880000000000003</v>
      </c>
      <c r="E156" s="28">
        <f>SUM(E138:E155)</f>
        <v>82.62</v>
      </c>
      <c r="F156" s="28">
        <f>AVERAGE(B138:D155)</f>
        <v>1.5300000000000002</v>
      </c>
      <c r="G156" s="43">
        <v>5</v>
      </c>
      <c r="H156" s="16">
        <f t="shared" si="65"/>
        <v>2.3333333333333428E-2</v>
      </c>
      <c r="I156" s="46">
        <f t="shared" si="66"/>
        <v>1.6400000000000001</v>
      </c>
      <c r="J156" s="46">
        <f t="shared" si="67"/>
        <v>1.48</v>
      </c>
      <c r="K156" s="46">
        <f t="shared" si="68"/>
        <v>1.59</v>
      </c>
    </row>
    <row r="157" spans="1:21" x14ac:dyDescent="0.25">
      <c r="A157" s="25" t="s">
        <v>11</v>
      </c>
      <c r="B157" s="28">
        <f>B156/18</f>
        <v>1.5177777777777779</v>
      </c>
      <c r="C157" s="28">
        <f>C156/18</f>
        <v>1.5233333333333332</v>
      </c>
      <c r="D157" s="28">
        <f>D156/18</f>
        <v>1.548888888888889</v>
      </c>
      <c r="G157" s="43">
        <v>6</v>
      </c>
      <c r="H157" s="16">
        <f t="shared" si="65"/>
        <v>0.13666666666666671</v>
      </c>
      <c r="I157" s="46">
        <f t="shared" si="66"/>
        <v>1.75</v>
      </c>
      <c r="J157" s="46">
        <f t="shared" si="67"/>
        <v>1.64</v>
      </c>
      <c r="K157" s="46">
        <f t="shared" si="68"/>
        <v>1.8399999999999999</v>
      </c>
    </row>
    <row r="158" spans="1:21" x14ac:dyDescent="0.25">
      <c r="A158" s="25" t="s">
        <v>59</v>
      </c>
      <c r="B158" s="28">
        <f>(E156*E156)/54</f>
        <v>126.40860000000002</v>
      </c>
      <c r="C158" s="28"/>
      <c r="D158" s="28"/>
      <c r="G158" s="43">
        <v>7</v>
      </c>
      <c r="H158" s="16">
        <f t="shared" si="65"/>
        <v>0.18333333333333379</v>
      </c>
      <c r="I158" s="46">
        <f t="shared" si="66"/>
        <v>1.53</v>
      </c>
      <c r="J158" s="46">
        <f t="shared" si="67"/>
        <v>1.56</v>
      </c>
      <c r="K158" s="46">
        <f t="shared" si="68"/>
        <v>1.58</v>
      </c>
    </row>
    <row r="159" spans="1:21" x14ac:dyDescent="0.25">
      <c r="A159" s="25" t="s">
        <v>60</v>
      </c>
      <c r="B159" s="28">
        <f>SUMSQ(B138:D155)-B158</f>
        <v>1.0500000000000256</v>
      </c>
      <c r="C159" s="25" t="s">
        <v>61</v>
      </c>
      <c r="D159" s="28">
        <f>(SUMSQ(B156:D156)/18)-B158</f>
        <v>9.9111111110801176E-3</v>
      </c>
      <c r="G159" s="43">
        <v>8</v>
      </c>
      <c r="H159" s="16">
        <f t="shared" si="65"/>
        <v>0.1466666666666665</v>
      </c>
      <c r="I159" s="46">
        <f t="shared" si="66"/>
        <v>1.52</v>
      </c>
      <c r="J159" s="46">
        <f t="shared" si="67"/>
        <v>1.6099999999999999</v>
      </c>
      <c r="K159" s="46">
        <f t="shared" si="68"/>
        <v>1.62</v>
      </c>
    </row>
    <row r="160" spans="1:21" x14ac:dyDescent="0.25">
      <c r="A160" s="25" t="s">
        <v>62</v>
      </c>
      <c r="B160" s="28">
        <f>(SUMSQ(E138:E155)/3)-B158</f>
        <v>0.77366666666665651</v>
      </c>
      <c r="C160" s="25" t="s">
        <v>63</v>
      </c>
      <c r="D160" s="28">
        <f>B159-B160-D159</f>
        <v>0.26642222222228895</v>
      </c>
      <c r="G160" s="43">
        <v>9</v>
      </c>
      <c r="H160" s="16">
        <f t="shared" si="65"/>
        <v>0.12666666666666671</v>
      </c>
      <c r="I160" s="46">
        <f t="shared" si="66"/>
        <v>1.49</v>
      </c>
      <c r="J160" s="46">
        <f t="shared" si="67"/>
        <v>1.46</v>
      </c>
      <c r="K160" s="46">
        <f t="shared" si="68"/>
        <v>1.46</v>
      </c>
    </row>
    <row r="161" spans="1:22" x14ac:dyDescent="0.25">
      <c r="I161" s="46">
        <f>B147+0.03</f>
        <v>1.34</v>
      </c>
      <c r="J161" s="46">
        <f t="shared" ref="J161:K161" si="70">C147+0.03</f>
        <v>1.36</v>
      </c>
      <c r="K161" s="46">
        <f t="shared" si="70"/>
        <v>1.35</v>
      </c>
    </row>
    <row r="162" spans="1:22" x14ac:dyDescent="0.25">
      <c r="I162" s="46">
        <f t="shared" ref="I162:I169" si="71">B148+0.03</f>
        <v>1.45</v>
      </c>
      <c r="J162" s="46">
        <f t="shared" ref="J162:J169" si="72">C148+0.03</f>
        <v>1.52</v>
      </c>
      <c r="K162" s="46">
        <f t="shared" ref="K162:K169" si="73">D148+0.03</f>
        <v>1.93</v>
      </c>
    </row>
    <row r="163" spans="1:22" x14ac:dyDescent="0.25">
      <c r="I163" s="46">
        <f t="shared" si="71"/>
        <v>1.54</v>
      </c>
      <c r="J163" s="46">
        <f t="shared" si="72"/>
        <v>1.75</v>
      </c>
      <c r="K163" s="46">
        <f t="shared" si="73"/>
        <v>1.3800000000000001</v>
      </c>
    </row>
    <row r="164" spans="1:22" ht="15.75" x14ac:dyDescent="0.25">
      <c r="C164" s="18" t="s">
        <v>80</v>
      </c>
      <c r="I164" s="46">
        <f t="shared" si="71"/>
        <v>1.44</v>
      </c>
      <c r="J164" s="46">
        <f t="shared" si="72"/>
        <v>1.42</v>
      </c>
      <c r="K164" s="46">
        <f t="shared" si="73"/>
        <v>1.43</v>
      </c>
    </row>
    <row r="165" spans="1:22" x14ac:dyDescent="0.25">
      <c r="I165" s="46">
        <f t="shared" si="71"/>
        <v>1.55</v>
      </c>
      <c r="J165" s="46">
        <f t="shared" si="72"/>
        <v>1.58</v>
      </c>
      <c r="K165" s="46">
        <f t="shared" si="73"/>
        <v>1.69</v>
      </c>
    </row>
    <row r="166" spans="1:22" x14ac:dyDescent="0.25">
      <c r="A166" s="19" t="s">
        <v>13</v>
      </c>
      <c r="B166" s="20">
        <v>2</v>
      </c>
      <c r="C166" s="21"/>
      <c r="D166" s="21"/>
      <c r="E166" s="21"/>
      <c r="F166" s="21"/>
      <c r="G166" s="21"/>
      <c r="H166" s="21"/>
      <c r="I166" s="46">
        <f t="shared" si="71"/>
        <v>1.7</v>
      </c>
      <c r="J166" s="46">
        <f t="shared" si="72"/>
        <v>1.67</v>
      </c>
      <c r="K166" s="46">
        <f t="shared" si="73"/>
        <v>1.6300000000000001</v>
      </c>
      <c r="L166" s="21"/>
      <c r="M166" s="22"/>
      <c r="N166" s="22"/>
      <c r="O166" s="21"/>
      <c r="P166" s="21"/>
      <c r="T166" s="52">
        <v>1.51</v>
      </c>
      <c r="U166" s="52">
        <v>1.4800000000000002</v>
      </c>
      <c r="V166" s="52">
        <v>1.45</v>
      </c>
    </row>
    <row r="167" spans="1:22" x14ac:dyDescent="0.25">
      <c r="A167" s="19" t="s">
        <v>14</v>
      </c>
      <c r="B167" s="20">
        <v>9</v>
      </c>
      <c r="C167" s="21" t="s">
        <v>15</v>
      </c>
      <c r="D167" s="21">
        <v>18</v>
      </c>
      <c r="E167" s="21"/>
      <c r="F167" s="21"/>
      <c r="G167" s="21"/>
      <c r="H167" s="21"/>
      <c r="I167" s="46">
        <f t="shared" si="71"/>
        <v>1.42</v>
      </c>
      <c r="J167" s="46">
        <f t="shared" si="72"/>
        <v>1.45</v>
      </c>
      <c r="K167" s="46">
        <f t="shared" si="73"/>
        <v>1.43</v>
      </c>
      <c r="L167" s="21"/>
      <c r="M167" s="22"/>
      <c r="N167" s="22"/>
      <c r="O167" s="21"/>
      <c r="P167" s="21"/>
      <c r="T167" s="52">
        <v>1.75</v>
      </c>
      <c r="U167" s="52">
        <v>1.7800000000000002</v>
      </c>
      <c r="V167" s="52">
        <v>1.74</v>
      </c>
    </row>
    <row r="168" spans="1:22" x14ac:dyDescent="0.25">
      <c r="A168" s="15" t="s">
        <v>16</v>
      </c>
      <c r="B168" s="23">
        <v>3</v>
      </c>
      <c r="I168" s="46">
        <f t="shared" si="71"/>
        <v>1.52</v>
      </c>
      <c r="J168" s="46">
        <f t="shared" si="72"/>
        <v>1.46</v>
      </c>
      <c r="K168" s="46">
        <f t="shared" si="73"/>
        <v>1.51</v>
      </c>
      <c r="T168" s="52">
        <v>1.78</v>
      </c>
      <c r="U168" s="52">
        <v>1.78</v>
      </c>
      <c r="V168" s="52">
        <v>1.7900000000000003</v>
      </c>
    </row>
    <row r="169" spans="1:22" x14ac:dyDescent="0.25">
      <c r="A169" s="24" t="s">
        <v>0</v>
      </c>
      <c r="B169" s="25" t="s">
        <v>17</v>
      </c>
      <c r="C169" s="25" t="s">
        <v>18</v>
      </c>
      <c r="D169" s="25" t="s">
        <v>19</v>
      </c>
      <c r="E169" s="25" t="s">
        <v>20</v>
      </c>
      <c r="F169" s="25" t="s">
        <v>11</v>
      </c>
      <c r="I169" s="46">
        <f t="shared" si="71"/>
        <v>1.44</v>
      </c>
      <c r="J169" s="46">
        <f t="shared" si="72"/>
        <v>1.37</v>
      </c>
      <c r="K169" s="46">
        <f t="shared" si="73"/>
        <v>1.4000000000000001</v>
      </c>
      <c r="O169" s="16" t="s">
        <v>21</v>
      </c>
      <c r="R169" s="16"/>
      <c r="T169" s="52">
        <v>1.6600000000000001</v>
      </c>
      <c r="U169" s="52">
        <v>1.6800000000000002</v>
      </c>
      <c r="V169" s="52">
        <v>1.6500000000000001</v>
      </c>
    </row>
    <row r="170" spans="1:22" x14ac:dyDescent="0.25">
      <c r="A170" s="27" t="s">
        <v>22</v>
      </c>
      <c r="B170" s="45">
        <v>1.31</v>
      </c>
      <c r="C170" s="45">
        <v>1.3800000000000001</v>
      </c>
      <c r="D170" s="45">
        <v>1.4500000000000002</v>
      </c>
      <c r="E170" s="28">
        <f>SUM(B170:D170)</f>
        <v>4.1400000000000006</v>
      </c>
      <c r="F170" s="28">
        <f>E170/3</f>
        <v>1.3800000000000001</v>
      </c>
      <c r="H170" s="29"/>
      <c r="I170" s="29"/>
      <c r="J170" s="29" t="s">
        <v>23</v>
      </c>
      <c r="K170" s="29"/>
      <c r="L170" s="29"/>
      <c r="M170" s="29"/>
      <c r="N170" s="29"/>
      <c r="O170" s="30">
        <v>1</v>
      </c>
      <c r="P170" s="33">
        <f>SUM(F170:F178)/9</f>
        <v>1.6118518518518519</v>
      </c>
      <c r="Q170" s="31" t="e">
        <f>RANK(P170,P$105:P$106,0)</f>
        <v>#N/A</v>
      </c>
      <c r="R170" s="16"/>
      <c r="T170" s="52">
        <v>1.7</v>
      </c>
      <c r="U170" s="52">
        <v>1.7400000000000002</v>
      </c>
      <c r="V170" s="52">
        <v>1.75</v>
      </c>
    </row>
    <row r="171" spans="1:22" x14ac:dyDescent="0.25">
      <c r="A171" s="27" t="s">
        <v>24</v>
      </c>
      <c r="B171" s="45">
        <v>1.55</v>
      </c>
      <c r="C171" s="45">
        <v>1.6800000000000002</v>
      </c>
      <c r="D171" s="45">
        <v>1.74</v>
      </c>
      <c r="E171" s="28">
        <f t="shared" ref="E171:E187" si="74">SUM(B171:D171)</f>
        <v>4.9700000000000006</v>
      </c>
      <c r="F171" s="28">
        <f t="shared" ref="F171:F184" si="75">E171/3</f>
        <v>1.656666666666667</v>
      </c>
      <c r="G171" s="28"/>
      <c r="H171" s="25" t="s">
        <v>25</v>
      </c>
      <c r="I171" s="25" t="s">
        <v>26</v>
      </c>
      <c r="J171" s="25" t="s">
        <v>27</v>
      </c>
      <c r="K171" s="25" t="s">
        <v>28</v>
      </c>
      <c r="L171" s="25" t="s">
        <v>29</v>
      </c>
      <c r="M171" s="25" t="s">
        <v>30</v>
      </c>
      <c r="N171" s="32"/>
      <c r="O171" s="30">
        <v>2</v>
      </c>
      <c r="P171" s="33">
        <f>SUM(F179:F187)/9</f>
        <v>1.5188888888888892</v>
      </c>
      <c r="Q171" s="31" t="e">
        <f>RANK(P171,P$105:P$106,0)</f>
        <v>#N/A</v>
      </c>
      <c r="R171" s="16"/>
      <c r="T171" s="52">
        <v>1.9100000000000001</v>
      </c>
      <c r="U171" s="52">
        <v>1.85</v>
      </c>
      <c r="V171" s="52">
        <v>1.9500000000000002</v>
      </c>
    </row>
    <row r="172" spans="1:22" x14ac:dyDescent="0.25">
      <c r="A172" s="27" t="s">
        <v>31</v>
      </c>
      <c r="B172" s="45">
        <v>1.7200000000000002</v>
      </c>
      <c r="C172" s="45">
        <v>1.6400000000000001</v>
      </c>
      <c r="D172" s="45">
        <v>1.6900000000000002</v>
      </c>
      <c r="E172" s="28">
        <f t="shared" si="74"/>
        <v>5.0500000000000007</v>
      </c>
      <c r="F172" s="28">
        <f t="shared" si="75"/>
        <v>1.6833333333333336</v>
      </c>
      <c r="G172" s="28" t="s">
        <v>32</v>
      </c>
      <c r="H172" s="28">
        <f>B168-1</f>
        <v>2</v>
      </c>
      <c r="I172" s="28">
        <f>D191</f>
        <v>6.6548148148228847E-2</v>
      </c>
      <c r="J172" s="28">
        <f>I172/H172</f>
        <v>3.3274074074114424E-2</v>
      </c>
      <c r="K172" s="28">
        <f>J172/$J$16</f>
        <v>2.1535402815895033</v>
      </c>
      <c r="L172" s="28">
        <f>FINV(0.05,H172,$H$16)</f>
        <v>3.275897990672394</v>
      </c>
      <c r="M172" s="28" t="str">
        <f>IF(K172&gt;=L172, "S", "NS")</f>
        <v>NS</v>
      </c>
      <c r="N172" s="21"/>
      <c r="O172" s="25" t="s">
        <v>33</v>
      </c>
      <c r="P172" s="33">
        <f>SQRT(J177/(3*9))</f>
        <v>2.1322944396072178E-2</v>
      </c>
      <c r="R172" s="16"/>
      <c r="T172" s="52">
        <v>1.6900000000000002</v>
      </c>
      <c r="U172" s="52">
        <v>1.7200000000000002</v>
      </c>
      <c r="V172" s="52">
        <v>1.7400000000000002</v>
      </c>
    </row>
    <row r="173" spans="1:22" x14ac:dyDescent="0.25">
      <c r="A173" s="27" t="s">
        <v>34</v>
      </c>
      <c r="B173" s="45">
        <v>1.56</v>
      </c>
      <c r="C173" s="45">
        <v>1.58</v>
      </c>
      <c r="D173" s="45">
        <v>1.55</v>
      </c>
      <c r="E173" s="28">
        <f t="shared" si="74"/>
        <v>4.6900000000000004</v>
      </c>
      <c r="F173" s="28">
        <f t="shared" si="75"/>
        <v>1.5633333333333335</v>
      </c>
      <c r="G173" s="28" t="s">
        <v>35</v>
      </c>
      <c r="H173" s="28">
        <f>D167-1</f>
        <v>17</v>
      </c>
      <c r="I173" s="28">
        <f>B192</f>
        <v>0.74100925925930028</v>
      </c>
      <c r="J173" s="28">
        <f t="shared" ref="J173:J177" si="76">I173/H173</f>
        <v>4.358877995642943E-2</v>
      </c>
      <c r="K173" s="28">
        <f>J173/$J$16</f>
        <v>2.8211211302958024</v>
      </c>
      <c r="L173" s="28">
        <f>FINV(0.05,H173,$H$16)</f>
        <v>1.9332068318040869</v>
      </c>
      <c r="M173" s="34" t="str">
        <f t="shared" ref="M173" si="77">IF(K173&gt;=L173, "S", "NS")</f>
        <v>S</v>
      </c>
      <c r="N173" s="25" t="s">
        <v>36</v>
      </c>
      <c r="O173" s="25" t="s">
        <v>37</v>
      </c>
      <c r="P173" s="33">
        <f>SQRT((2*J177)/(3*9))*L178</f>
        <v>6.1282733844936176E-2</v>
      </c>
      <c r="R173" s="16"/>
      <c r="T173" s="52">
        <v>1.7800000000000002</v>
      </c>
      <c r="U173" s="52">
        <v>1.6700000000000002</v>
      </c>
      <c r="V173" s="52">
        <v>1.7800000000000002</v>
      </c>
    </row>
    <row r="174" spans="1:22" x14ac:dyDescent="0.25">
      <c r="A174" s="27" t="s">
        <v>38</v>
      </c>
      <c r="B174" s="45">
        <v>1.7000000000000002</v>
      </c>
      <c r="C174" s="45">
        <v>1.6400000000000001</v>
      </c>
      <c r="D174" s="45">
        <v>1.55</v>
      </c>
      <c r="E174" s="28">
        <f t="shared" si="74"/>
        <v>4.8900000000000006</v>
      </c>
      <c r="F174" s="28">
        <f t="shared" si="75"/>
        <v>1.6300000000000001</v>
      </c>
      <c r="G174" s="28" t="s">
        <v>39</v>
      </c>
      <c r="H174" s="28">
        <f>B166-1</f>
        <v>1</v>
      </c>
      <c r="I174" s="28">
        <f>(SUM(E170:E178)^2+SUM(E179:E187)^2)/27-B190</f>
        <v>0.11666851851856563</v>
      </c>
      <c r="J174" s="28">
        <f t="shared" si="76"/>
        <v>0.11666851851856563</v>
      </c>
      <c r="K174" s="28">
        <f>J174/$J$16</f>
        <v>7.5509345102577123</v>
      </c>
      <c r="L174" s="28">
        <f>FINV(0.05,H174,$H$16)</f>
        <v>4.1300177456520188</v>
      </c>
      <c r="M174" s="28" t="str">
        <f>IF(K174&gt;=L174, "S", "NS")</f>
        <v>S</v>
      </c>
      <c r="N174" s="21"/>
      <c r="O174" s="30">
        <v>1</v>
      </c>
      <c r="P174" s="33">
        <f>(F170+F179)/2</f>
        <v>1.37</v>
      </c>
      <c r="Q174" s="31" t="e">
        <f>RANK(P174,P$109:P$117,0)</f>
        <v>#N/A</v>
      </c>
      <c r="R174" s="35">
        <v>9</v>
      </c>
      <c r="T174" s="52">
        <v>1.6500000000000001</v>
      </c>
      <c r="U174" s="52">
        <v>1.62</v>
      </c>
      <c r="V174" s="52">
        <v>1.62</v>
      </c>
    </row>
    <row r="175" spans="1:22" x14ac:dyDescent="0.25">
      <c r="A175" s="27" t="s">
        <v>40</v>
      </c>
      <c r="B175" s="45">
        <v>1.91</v>
      </c>
      <c r="C175" s="45">
        <v>1.65</v>
      </c>
      <c r="D175" s="45">
        <v>1.85</v>
      </c>
      <c r="E175" s="28">
        <f t="shared" si="74"/>
        <v>5.41</v>
      </c>
      <c r="F175" s="28">
        <f t="shared" si="75"/>
        <v>1.8033333333333335</v>
      </c>
      <c r="G175" s="28" t="s">
        <v>41</v>
      </c>
      <c r="H175" s="28">
        <f>B167-1</f>
        <v>8</v>
      </c>
      <c r="I175" s="28">
        <f>((E170+E179)^2+(E171+E180)^2+(E172+E181)^2+(E173+E182)^2+(E174+E183)^2+(E175+E184)^2+(E176+E185)^2+(E177+E186)^2+(E178+E187)^2/6)-B190</f>
        <v>600.11145925925939</v>
      </c>
      <c r="J175" s="28">
        <f t="shared" si="76"/>
        <v>75.013932407407424</v>
      </c>
      <c r="K175" s="28">
        <f>J175/$J$16</f>
        <v>4854.9968591149636</v>
      </c>
      <c r="L175" s="28">
        <f>FINV(0.05,H175,$H$16)</f>
        <v>2.2253399674380931</v>
      </c>
      <c r="M175" s="28" t="str">
        <f>IF(K175&gt;=L175, "S", "NS")</f>
        <v>S</v>
      </c>
      <c r="N175" s="21"/>
      <c r="O175" s="30">
        <v>2</v>
      </c>
      <c r="P175" s="33">
        <f t="shared" ref="P175:P182" si="78">(F171+F180)/2</f>
        <v>1.6500000000000001</v>
      </c>
      <c r="Q175" s="31" t="e">
        <f t="shared" ref="Q175:Q182" si="79">RANK(P175,P$109:P$117,0)</f>
        <v>#N/A</v>
      </c>
      <c r="R175" s="37">
        <v>5</v>
      </c>
      <c r="T175" s="52">
        <v>1.37</v>
      </c>
      <c r="U175" s="52">
        <v>1.3900000000000001</v>
      </c>
      <c r="V175" s="52">
        <v>1.3800000000000001</v>
      </c>
    </row>
    <row r="176" spans="1:22" x14ac:dyDescent="0.25">
      <c r="A176" s="27" t="s">
        <v>42</v>
      </c>
      <c r="B176" s="45">
        <v>1.59</v>
      </c>
      <c r="C176" s="45">
        <v>1.62</v>
      </c>
      <c r="D176" s="45">
        <v>1.6400000000000001</v>
      </c>
      <c r="E176" s="28">
        <f t="shared" si="74"/>
        <v>4.8499999999999996</v>
      </c>
      <c r="F176" s="28">
        <f t="shared" si="75"/>
        <v>1.6166666666666665</v>
      </c>
      <c r="G176" s="38" t="s">
        <v>43</v>
      </c>
      <c r="H176" s="28">
        <f>H174*H175</f>
        <v>8</v>
      </c>
      <c r="I176" s="28">
        <f>I173-(I174+I175)</f>
        <v>-599.48711851851863</v>
      </c>
      <c r="J176" s="28">
        <f t="shared" si="76"/>
        <v>-74.935889814814828</v>
      </c>
      <c r="K176" s="39">
        <f>J176/$J$16</f>
        <v>-4849.9458435268671</v>
      </c>
      <c r="L176" s="28">
        <f>FINV(0.05,H176,$H$16)</f>
        <v>2.2253399674380931</v>
      </c>
      <c r="M176" s="28" t="str">
        <f t="shared" ref="M176" si="80">IF(K176&gt;=L176, "S", "NS")</f>
        <v>NS</v>
      </c>
      <c r="N176" s="21"/>
      <c r="O176" s="30">
        <v>3</v>
      </c>
      <c r="P176" s="33">
        <f t="shared" si="78"/>
        <v>1.625</v>
      </c>
      <c r="Q176" s="31" t="e">
        <f t="shared" si="79"/>
        <v>#N/A</v>
      </c>
      <c r="R176" s="37">
        <v>2</v>
      </c>
      <c r="T176" s="52">
        <v>1.68</v>
      </c>
      <c r="U176" s="52">
        <v>1.6</v>
      </c>
      <c r="V176" s="52">
        <v>1.7</v>
      </c>
    </row>
    <row r="177" spans="1:22" x14ac:dyDescent="0.25">
      <c r="A177" s="27" t="s">
        <v>44</v>
      </c>
      <c r="B177" s="45">
        <v>1.6800000000000002</v>
      </c>
      <c r="C177" s="45">
        <v>1.57</v>
      </c>
      <c r="D177" s="45">
        <v>1.6800000000000002</v>
      </c>
      <c r="E177" s="28">
        <f t="shared" si="74"/>
        <v>4.93</v>
      </c>
      <c r="F177" s="28">
        <f t="shared" si="75"/>
        <v>1.6433333333333333</v>
      </c>
      <c r="G177" s="40" t="s">
        <v>45</v>
      </c>
      <c r="H177" s="28">
        <f>((B168-1)*(B166*B167-1))</f>
        <v>34</v>
      </c>
      <c r="I177" s="28">
        <f>D192</f>
        <v>0.41738518518511114</v>
      </c>
      <c r="J177" s="28">
        <f t="shared" si="76"/>
        <v>1.2276034858385621E-2</v>
      </c>
      <c r="O177" s="30">
        <v>4</v>
      </c>
      <c r="P177" s="33">
        <f t="shared" si="78"/>
        <v>1.5033333333333334</v>
      </c>
      <c r="Q177" s="31" t="e">
        <f t="shared" si="79"/>
        <v>#N/A</v>
      </c>
      <c r="R177" s="37">
        <v>7</v>
      </c>
      <c r="T177" s="52">
        <v>1.57</v>
      </c>
      <c r="U177" s="52">
        <v>1.6800000000000002</v>
      </c>
      <c r="V177" s="52">
        <v>1.51</v>
      </c>
    </row>
    <row r="178" spans="1:22" x14ac:dyDescent="0.25">
      <c r="A178" s="27" t="s">
        <v>46</v>
      </c>
      <c r="B178" s="45">
        <v>1.45</v>
      </c>
      <c r="C178" s="45">
        <v>1.62</v>
      </c>
      <c r="D178" s="45">
        <v>1.52</v>
      </c>
      <c r="E178" s="28">
        <f t="shared" si="74"/>
        <v>4.59</v>
      </c>
      <c r="F178" s="28">
        <f t="shared" si="75"/>
        <v>1.53</v>
      </c>
      <c r="G178" s="39" t="s">
        <v>20</v>
      </c>
      <c r="H178" s="28">
        <f>SUM(H172:H177)-H173</f>
        <v>53</v>
      </c>
      <c r="I178" s="28">
        <f>B191</f>
        <v>1.2249425925926403</v>
      </c>
      <c r="K178" s="28" t="s">
        <v>47</v>
      </c>
      <c r="L178" s="16">
        <f>TINV(0.05,34)</f>
        <v>2.0322445093177191</v>
      </c>
      <c r="O178" s="30">
        <v>5</v>
      </c>
      <c r="P178" s="33">
        <f t="shared" si="78"/>
        <v>1.6233333333333333</v>
      </c>
      <c r="Q178" s="31" t="e">
        <f t="shared" si="79"/>
        <v>#N/A</v>
      </c>
      <c r="R178" s="35">
        <v>3</v>
      </c>
      <c r="T178" s="52">
        <v>1.4700000000000002</v>
      </c>
      <c r="U178" s="52">
        <v>1.5</v>
      </c>
      <c r="V178" s="52">
        <v>1.4200000000000002</v>
      </c>
    </row>
    <row r="179" spans="1:22" x14ac:dyDescent="0.25">
      <c r="A179" s="27" t="s">
        <v>48</v>
      </c>
      <c r="B179" s="45">
        <v>1.35</v>
      </c>
      <c r="C179" s="45">
        <v>1.37</v>
      </c>
      <c r="D179" s="45">
        <v>1.36</v>
      </c>
      <c r="E179" s="28">
        <f t="shared" si="74"/>
        <v>4.08</v>
      </c>
      <c r="F179" s="28">
        <f t="shared" si="75"/>
        <v>1.36</v>
      </c>
      <c r="G179" s="42" t="s">
        <v>33</v>
      </c>
      <c r="H179" s="28">
        <f>SQRT(J177/3)</f>
        <v>6.3968833188216542E-2</v>
      </c>
      <c r="O179" s="30">
        <v>6</v>
      </c>
      <c r="P179" s="33">
        <f t="shared" si="78"/>
        <v>1.74</v>
      </c>
      <c r="Q179" s="31" t="e">
        <f t="shared" si="79"/>
        <v>#N/A</v>
      </c>
      <c r="R179" s="37">
        <v>1</v>
      </c>
      <c r="T179" s="52">
        <v>1.58</v>
      </c>
      <c r="U179" s="52">
        <v>1.61</v>
      </c>
      <c r="V179" s="52">
        <v>1.72</v>
      </c>
    </row>
    <row r="180" spans="1:22" x14ac:dyDescent="0.25">
      <c r="A180" s="27" t="s">
        <v>49</v>
      </c>
      <c r="B180" s="45">
        <v>1.36</v>
      </c>
      <c r="C180" s="45">
        <v>1.63</v>
      </c>
      <c r="D180" s="45">
        <v>1.94</v>
      </c>
      <c r="E180" s="28">
        <f t="shared" si="74"/>
        <v>4.93</v>
      </c>
      <c r="F180" s="28">
        <f t="shared" si="75"/>
        <v>1.6433333333333333</v>
      </c>
      <c r="G180" s="42" t="s">
        <v>37</v>
      </c>
      <c r="H180" s="28">
        <f>(SQRT((2*J177)/3))*L178</f>
        <v>0.18384820153480852</v>
      </c>
      <c r="O180" s="30">
        <v>7</v>
      </c>
      <c r="P180" s="33">
        <f t="shared" si="78"/>
        <v>1.5299999999999998</v>
      </c>
      <c r="Q180" s="31" t="e">
        <f t="shared" si="79"/>
        <v>#N/A</v>
      </c>
      <c r="R180" s="37">
        <v>6</v>
      </c>
      <c r="T180" s="52">
        <v>1.73</v>
      </c>
      <c r="U180" s="52">
        <v>1.7</v>
      </c>
      <c r="V180" s="52">
        <v>1.6600000000000001</v>
      </c>
    </row>
    <row r="181" spans="1:22" x14ac:dyDescent="0.25">
      <c r="A181" s="27" t="s">
        <v>50</v>
      </c>
      <c r="B181" s="45">
        <v>1.55</v>
      </c>
      <c r="C181" s="45">
        <v>1.6600000000000001</v>
      </c>
      <c r="D181" s="45">
        <v>1.49</v>
      </c>
      <c r="E181" s="28">
        <f t="shared" si="74"/>
        <v>4.7</v>
      </c>
      <c r="F181" s="28">
        <f t="shared" si="75"/>
        <v>1.5666666666666667</v>
      </c>
      <c r="G181" s="42" t="s">
        <v>51</v>
      </c>
      <c r="H181" s="28">
        <f>((SQRT(J177))/F188)*100</f>
        <v>7.0780226379699744</v>
      </c>
      <c r="O181" s="30">
        <v>8</v>
      </c>
      <c r="P181" s="33">
        <f t="shared" si="78"/>
        <v>1.5750000000000002</v>
      </c>
      <c r="Q181" s="31" t="e">
        <f t="shared" si="79"/>
        <v>#N/A</v>
      </c>
      <c r="R181" s="35">
        <v>4</v>
      </c>
      <c r="T181" s="52">
        <v>1.45</v>
      </c>
      <c r="U181" s="52">
        <v>1.48</v>
      </c>
      <c r="V181" s="52">
        <v>1.46</v>
      </c>
    </row>
    <row r="182" spans="1:22" x14ac:dyDescent="0.25">
      <c r="A182" s="27" t="s">
        <v>52</v>
      </c>
      <c r="B182" s="45">
        <v>1.4000000000000001</v>
      </c>
      <c r="C182" s="45">
        <v>1.33</v>
      </c>
      <c r="D182" s="45">
        <v>1.6</v>
      </c>
      <c r="E182" s="28">
        <f t="shared" si="74"/>
        <v>4.33</v>
      </c>
      <c r="F182" s="28">
        <f t="shared" si="75"/>
        <v>1.4433333333333334</v>
      </c>
      <c r="O182" s="30">
        <v>9</v>
      </c>
      <c r="P182" s="33">
        <f t="shared" si="78"/>
        <v>1.4716666666666667</v>
      </c>
      <c r="Q182" s="31" t="e">
        <f t="shared" si="79"/>
        <v>#N/A</v>
      </c>
      <c r="R182" s="37">
        <v>8</v>
      </c>
      <c r="T182" s="52">
        <v>1.55</v>
      </c>
      <c r="U182" s="52">
        <v>1.5</v>
      </c>
      <c r="V182" s="52">
        <v>1.53</v>
      </c>
    </row>
    <row r="183" spans="1:22" x14ac:dyDescent="0.25">
      <c r="A183" s="27" t="s">
        <v>53</v>
      </c>
      <c r="B183" s="45">
        <v>1.56</v>
      </c>
      <c r="C183" s="45">
        <v>1.39</v>
      </c>
      <c r="D183" s="45">
        <v>1.9</v>
      </c>
      <c r="E183" s="28">
        <f t="shared" si="74"/>
        <v>4.8499999999999996</v>
      </c>
      <c r="F183" s="28">
        <f t="shared" si="75"/>
        <v>1.6166666666666665</v>
      </c>
      <c r="H183" s="16" t="s">
        <v>54</v>
      </c>
      <c r="O183" s="25" t="s">
        <v>33</v>
      </c>
      <c r="P183" s="33">
        <f>SQRT(J177/(3*2))</f>
        <v>4.5232795731978991E-2</v>
      </c>
      <c r="Q183" s="31"/>
      <c r="T183" s="52">
        <v>1.37</v>
      </c>
      <c r="U183" s="52">
        <v>1.45</v>
      </c>
      <c r="V183" s="52">
        <v>1.48</v>
      </c>
    </row>
    <row r="184" spans="1:22" x14ac:dyDescent="0.25">
      <c r="A184" s="27" t="s">
        <v>55</v>
      </c>
      <c r="B184" s="45">
        <v>1.71</v>
      </c>
      <c r="C184" s="45">
        <v>1.68</v>
      </c>
      <c r="D184" s="45">
        <v>1.6400000000000001</v>
      </c>
      <c r="E184" s="28">
        <f t="shared" si="74"/>
        <v>5.0299999999999994</v>
      </c>
      <c r="F184" s="28">
        <f t="shared" si="75"/>
        <v>1.6766666666666665</v>
      </c>
      <c r="G184" s="43">
        <v>1</v>
      </c>
      <c r="H184" s="16">
        <f>F170-F179</f>
        <v>2.0000000000000018E-2</v>
      </c>
      <c r="I184" s="46">
        <f>B170+0.02</f>
        <v>1.33</v>
      </c>
      <c r="J184" s="46">
        <f t="shared" ref="J184:K184" si="81">C170+0.02</f>
        <v>1.4000000000000001</v>
      </c>
      <c r="K184" s="46">
        <f t="shared" si="81"/>
        <v>1.4700000000000002</v>
      </c>
      <c r="N184" s="25" t="s">
        <v>41</v>
      </c>
      <c r="O184" s="25" t="s">
        <v>37</v>
      </c>
      <c r="P184" s="33">
        <f>SQRT((2*J177)/(3*2))*L178</f>
        <v>0.13000031001421414</v>
      </c>
      <c r="Q184" s="31"/>
    </row>
    <row r="185" spans="1:22" x14ac:dyDescent="0.25">
      <c r="A185" s="27" t="s">
        <v>56</v>
      </c>
      <c r="B185" s="45">
        <v>1.43</v>
      </c>
      <c r="C185" s="45">
        <v>1.46</v>
      </c>
      <c r="D185" s="45">
        <v>1.44</v>
      </c>
      <c r="E185" s="28">
        <f t="shared" si="74"/>
        <v>4.33</v>
      </c>
      <c r="F185" s="28">
        <f>E185/3</f>
        <v>1.4433333333333334</v>
      </c>
      <c r="G185" s="43">
        <v>2</v>
      </c>
      <c r="H185" s="16">
        <f t="shared" ref="H185:H192" si="82">F171-F180</f>
        <v>1.3333333333333641E-2</v>
      </c>
      <c r="I185" s="46">
        <f t="shared" ref="I185:I192" si="83">B171+0.02</f>
        <v>1.57</v>
      </c>
      <c r="J185" s="46">
        <f t="shared" ref="J185:J192" si="84">C171+0.02</f>
        <v>1.7000000000000002</v>
      </c>
      <c r="K185" s="46">
        <f t="shared" ref="K185:K192" si="85">D171+0.02</f>
        <v>1.76</v>
      </c>
      <c r="Q185" s="31"/>
    </row>
    <row r="186" spans="1:22" x14ac:dyDescent="0.25">
      <c r="A186" s="27" t="s">
        <v>57</v>
      </c>
      <c r="B186" s="45">
        <v>1.53</v>
      </c>
      <c r="C186" s="45">
        <v>1.4200000000000002</v>
      </c>
      <c r="D186" s="45">
        <v>1.57</v>
      </c>
      <c r="E186" s="28">
        <f t="shared" si="74"/>
        <v>4.5200000000000005</v>
      </c>
      <c r="F186" s="28">
        <f t="shared" ref="F186:F187" si="86">E186/3</f>
        <v>1.5066666666666668</v>
      </c>
      <c r="G186" s="43">
        <v>3</v>
      </c>
      <c r="H186" s="16">
        <f t="shared" si="82"/>
        <v>0.11666666666666692</v>
      </c>
      <c r="I186" s="46">
        <f t="shared" si="83"/>
        <v>1.7400000000000002</v>
      </c>
      <c r="J186" s="46">
        <f t="shared" si="84"/>
        <v>1.6600000000000001</v>
      </c>
      <c r="K186" s="46">
        <f t="shared" si="85"/>
        <v>1.7100000000000002</v>
      </c>
    </row>
    <row r="187" spans="1:22" x14ac:dyDescent="0.25">
      <c r="A187" s="27" t="s">
        <v>58</v>
      </c>
      <c r="B187" s="45">
        <v>1.35</v>
      </c>
      <c r="C187" s="45">
        <v>1.43</v>
      </c>
      <c r="D187" s="45">
        <v>1.46</v>
      </c>
      <c r="E187" s="28">
        <f t="shared" si="74"/>
        <v>4.24</v>
      </c>
      <c r="F187" s="28">
        <f t="shared" si="86"/>
        <v>1.4133333333333333</v>
      </c>
      <c r="G187" s="43">
        <v>4</v>
      </c>
      <c r="H187" s="16">
        <f t="shared" si="82"/>
        <v>0.12000000000000011</v>
      </c>
      <c r="I187" s="46">
        <f t="shared" si="83"/>
        <v>1.58</v>
      </c>
      <c r="J187" s="46">
        <f t="shared" si="84"/>
        <v>1.6</v>
      </c>
      <c r="K187" s="46">
        <f t="shared" si="85"/>
        <v>1.57</v>
      </c>
    </row>
    <row r="188" spans="1:22" x14ac:dyDescent="0.25">
      <c r="A188" s="25" t="s">
        <v>20</v>
      </c>
      <c r="B188" s="28">
        <f>SUM(B170:B187)</f>
        <v>27.71</v>
      </c>
      <c r="C188" s="28">
        <f t="shared" ref="C188:D188" si="87">SUM(C170:C187)</f>
        <v>27.750000000000007</v>
      </c>
      <c r="D188" s="28">
        <f t="shared" si="87"/>
        <v>29.070000000000004</v>
      </c>
      <c r="E188" s="28">
        <f>SUM(E170:E187)</f>
        <v>84.529999999999987</v>
      </c>
      <c r="F188" s="28">
        <f>AVERAGE(B170:D187)</f>
        <v>1.5653703703703703</v>
      </c>
      <c r="G188" s="43">
        <v>5</v>
      </c>
      <c r="H188" s="16">
        <f t="shared" si="82"/>
        <v>1.3333333333333641E-2</v>
      </c>
      <c r="I188" s="46">
        <f t="shared" si="83"/>
        <v>1.7200000000000002</v>
      </c>
      <c r="J188" s="46">
        <f t="shared" si="84"/>
        <v>1.6600000000000001</v>
      </c>
      <c r="K188" s="46">
        <f t="shared" si="85"/>
        <v>1.57</v>
      </c>
    </row>
    <row r="189" spans="1:22" x14ac:dyDescent="0.25">
      <c r="A189" s="25" t="s">
        <v>11</v>
      </c>
      <c r="B189" s="28">
        <f>B188/18</f>
        <v>1.5394444444444444</v>
      </c>
      <c r="C189" s="28">
        <f>C188/18</f>
        <v>1.541666666666667</v>
      </c>
      <c r="D189" s="28">
        <f>D188/18</f>
        <v>1.6150000000000002</v>
      </c>
      <c r="G189" s="43">
        <v>6</v>
      </c>
      <c r="H189" s="16">
        <f t="shared" si="82"/>
        <v>0.12666666666666693</v>
      </c>
      <c r="I189" s="46">
        <f t="shared" si="83"/>
        <v>1.93</v>
      </c>
      <c r="J189" s="46">
        <f t="shared" si="84"/>
        <v>1.67</v>
      </c>
      <c r="K189" s="46">
        <f t="shared" si="85"/>
        <v>1.87</v>
      </c>
    </row>
    <row r="190" spans="1:22" x14ac:dyDescent="0.25">
      <c r="A190" s="25" t="s">
        <v>59</v>
      </c>
      <c r="B190" s="28">
        <f>(E188*E188)/54</f>
        <v>132.32075740740737</v>
      </c>
      <c r="C190" s="28"/>
      <c r="D190" s="28"/>
      <c r="G190" s="43">
        <v>7</v>
      </c>
      <c r="H190" s="16">
        <f t="shared" si="82"/>
        <v>0.17333333333333312</v>
      </c>
      <c r="I190" s="46">
        <f t="shared" si="83"/>
        <v>1.61</v>
      </c>
      <c r="J190" s="46">
        <f t="shared" si="84"/>
        <v>1.6400000000000001</v>
      </c>
      <c r="K190" s="46">
        <f t="shared" si="85"/>
        <v>1.6600000000000001</v>
      </c>
    </row>
    <row r="191" spans="1:22" x14ac:dyDescent="0.25">
      <c r="A191" s="25" t="s">
        <v>60</v>
      </c>
      <c r="B191" s="28">
        <f>SUMSQ(B170:D187)-B190</f>
        <v>1.2249425925926403</v>
      </c>
      <c r="C191" s="25" t="s">
        <v>61</v>
      </c>
      <c r="D191" s="28">
        <f>(SUMSQ(B188:D188)/18)-B190</f>
        <v>6.6548148148228847E-2</v>
      </c>
      <c r="G191" s="43">
        <v>8</v>
      </c>
      <c r="H191" s="16">
        <f t="shared" si="82"/>
        <v>0.13666666666666649</v>
      </c>
      <c r="I191" s="46">
        <f t="shared" si="83"/>
        <v>1.7000000000000002</v>
      </c>
      <c r="J191" s="46">
        <f t="shared" si="84"/>
        <v>1.59</v>
      </c>
      <c r="K191" s="46">
        <f t="shared" si="85"/>
        <v>1.7000000000000002</v>
      </c>
    </row>
    <row r="192" spans="1:22" x14ac:dyDescent="0.25">
      <c r="A192" s="25" t="s">
        <v>62</v>
      </c>
      <c r="B192" s="28">
        <f>(SUMSQ(E170:E187)/3)-B190</f>
        <v>0.74100925925930028</v>
      </c>
      <c r="C192" s="25" t="s">
        <v>63</v>
      </c>
      <c r="D192" s="28">
        <f>B191-B192-D191</f>
        <v>0.41738518518511114</v>
      </c>
      <c r="G192" s="43">
        <v>9</v>
      </c>
      <c r="H192" s="16">
        <f t="shared" si="82"/>
        <v>0.1166666666666667</v>
      </c>
      <c r="I192" s="46">
        <f t="shared" si="83"/>
        <v>1.47</v>
      </c>
      <c r="J192" s="46">
        <f t="shared" si="84"/>
        <v>1.6400000000000001</v>
      </c>
      <c r="K192" s="46">
        <f t="shared" si="85"/>
        <v>1.54</v>
      </c>
    </row>
    <row r="193" spans="1:21" x14ac:dyDescent="0.25">
      <c r="I193" s="46">
        <f>B179-0.02</f>
        <v>1.33</v>
      </c>
      <c r="J193" s="46">
        <f t="shared" ref="J193:K193" si="88">C179-0.02</f>
        <v>1.35</v>
      </c>
      <c r="K193" s="46">
        <f t="shared" si="88"/>
        <v>1.34</v>
      </c>
    </row>
    <row r="194" spans="1:21" x14ac:dyDescent="0.25">
      <c r="I194" s="46">
        <f t="shared" ref="I194:I201" si="89">B180-0.02</f>
        <v>1.34</v>
      </c>
      <c r="J194" s="46">
        <f t="shared" ref="J194:J201" si="90">C180-0.02</f>
        <v>1.6099999999999999</v>
      </c>
      <c r="K194" s="46">
        <f t="shared" ref="K194:K201" si="91">D180-0.02</f>
        <v>1.92</v>
      </c>
    </row>
    <row r="195" spans="1:21" x14ac:dyDescent="0.25">
      <c r="I195" s="46">
        <f t="shared" si="89"/>
        <v>1.53</v>
      </c>
      <c r="J195" s="46">
        <f t="shared" si="90"/>
        <v>1.6400000000000001</v>
      </c>
      <c r="K195" s="46">
        <f t="shared" si="91"/>
        <v>1.47</v>
      </c>
    </row>
    <row r="196" spans="1:21" ht="15.75" x14ac:dyDescent="0.25">
      <c r="C196" s="18" t="s">
        <v>81</v>
      </c>
      <c r="I196" s="46">
        <f t="shared" si="89"/>
        <v>1.3800000000000001</v>
      </c>
      <c r="J196" s="46">
        <f t="shared" si="90"/>
        <v>1.31</v>
      </c>
      <c r="K196" s="46">
        <f t="shared" si="91"/>
        <v>1.58</v>
      </c>
    </row>
    <row r="197" spans="1:21" x14ac:dyDescent="0.25">
      <c r="I197" s="46">
        <f t="shared" si="89"/>
        <v>1.54</v>
      </c>
      <c r="J197" s="46">
        <f t="shared" si="90"/>
        <v>1.3699999999999999</v>
      </c>
      <c r="K197" s="46">
        <f t="shared" si="91"/>
        <v>1.88</v>
      </c>
    </row>
    <row r="198" spans="1:21" x14ac:dyDescent="0.25">
      <c r="A198" s="19" t="s">
        <v>13</v>
      </c>
      <c r="B198" s="20">
        <v>2</v>
      </c>
      <c r="C198" s="21"/>
      <c r="D198" s="21"/>
      <c r="E198" s="21"/>
      <c r="F198" s="21"/>
      <c r="G198" s="21"/>
      <c r="H198" s="21"/>
      <c r="I198" s="46">
        <f t="shared" si="89"/>
        <v>1.69</v>
      </c>
      <c r="J198" s="46">
        <f t="shared" si="90"/>
        <v>1.66</v>
      </c>
      <c r="K198" s="46">
        <f t="shared" si="91"/>
        <v>1.62</v>
      </c>
      <c r="L198" s="21"/>
      <c r="M198" s="22"/>
      <c r="N198" s="22"/>
      <c r="O198" s="21"/>
      <c r="P198" s="21"/>
    </row>
    <row r="199" spans="1:21" x14ac:dyDescent="0.25">
      <c r="A199" s="19" t="s">
        <v>14</v>
      </c>
      <c r="B199" s="20">
        <v>9</v>
      </c>
      <c r="C199" s="21" t="s">
        <v>15</v>
      </c>
      <c r="D199" s="21">
        <v>18</v>
      </c>
      <c r="E199" s="21"/>
      <c r="F199" s="21"/>
      <c r="G199" s="21"/>
      <c r="H199" s="21"/>
      <c r="I199" s="46">
        <f t="shared" si="89"/>
        <v>1.41</v>
      </c>
      <c r="J199" s="46">
        <f t="shared" si="90"/>
        <v>1.44</v>
      </c>
      <c r="K199" s="46">
        <f t="shared" si="91"/>
        <v>1.42</v>
      </c>
      <c r="L199" s="21"/>
      <c r="M199" s="22"/>
      <c r="N199" s="22"/>
      <c r="O199" s="21"/>
      <c r="P199" s="21"/>
    </row>
    <row r="200" spans="1:21" x14ac:dyDescent="0.25">
      <c r="A200" s="15" t="s">
        <v>16</v>
      </c>
      <c r="B200" s="23">
        <v>3</v>
      </c>
      <c r="I200" s="46">
        <f t="shared" si="89"/>
        <v>1.51</v>
      </c>
      <c r="J200" s="46">
        <f t="shared" si="90"/>
        <v>1.4000000000000001</v>
      </c>
      <c r="K200" s="46">
        <f t="shared" si="91"/>
        <v>1.55</v>
      </c>
    </row>
    <row r="201" spans="1:21" x14ac:dyDescent="0.25">
      <c r="A201" s="24" t="s">
        <v>0</v>
      </c>
      <c r="B201" s="25" t="s">
        <v>17</v>
      </c>
      <c r="C201" s="25" t="s">
        <v>18</v>
      </c>
      <c r="D201" s="25" t="s">
        <v>19</v>
      </c>
      <c r="E201" s="25" t="s">
        <v>20</v>
      </c>
      <c r="F201" s="25" t="s">
        <v>11</v>
      </c>
      <c r="I201" s="46">
        <f t="shared" si="89"/>
        <v>1.33</v>
      </c>
      <c r="J201" s="46">
        <f t="shared" si="90"/>
        <v>1.41</v>
      </c>
      <c r="K201" s="46">
        <f t="shared" si="91"/>
        <v>1.44</v>
      </c>
      <c r="O201" s="16" t="s">
        <v>21</v>
      </c>
      <c r="S201" s="26">
        <v>2019</v>
      </c>
      <c r="T201" s="26"/>
      <c r="U201" s="26"/>
    </row>
    <row r="202" spans="1:21" x14ac:dyDescent="0.25">
      <c r="A202" s="27" t="s">
        <v>22</v>
      </c>
      <c r="B202" s="7">
        <v>1.34</v>
      </c>
      <c r="C202" s="7">
        <v>1.4100000000000001</v>
      </c>
      <c r="D202" s="7">
        <v>1.4800000000000002</v>
      </c>
      <c r="E202" s="33">
        <f t="shared" ref="E202:E219" si="92">SUM(B202:D202)</f>
        <v>4.2300000000000004</v>
      </c>
      <c r="F202" s="33">
        <f>E202/3</f>
        <v>1.4100000000000001</v>
      </c>
      <c r="H202" s="29"/>
      <c r="I202" s="29"/>
      <c r="J202" s="29" t="s">
        <v>23</v>
      </c>
      <c r="K202" s="29"/>
      <c r="L202" s="29"/>
      <c r="M202" s="29"/>
      <c r="N202" s="29"/>
      <c r="O202" s="30">
        <v>1</v>
      </c>
      <c r="P202" s="33">
        <f>SUM(F202:F210)/9</f>
        <v>1.6418518518518521</v>
      </c>
      <c r="Q202" s="31" t="e">
        <f>RANK(P202,P$9:P$10,0)</f>
        <v>#N/A</v>
      </c>
      <c r="S202" s="26">
        <f>P202*1835</f>
        <v>3012.7981481481488</v>
      </c>
      <c r="T202" s="26"/>
      <c r="U202" s="26"/>
    </row>
    <row r="203" spans="1:21" x14ac:dyDescent="0.25">
      <c r="A203" s="27" t="s">
        <v>24</v>
      </c>
      <c r="B203" s="7">
        <v>1.58</v>
      </c>
      <c r="C203" s="7">
        <v>1.7100000000000002</v>
      </c>
      <c r="D203" s="7">
        <v>1.77</v>
      </c>
      <c r="E203" s="33">
        <f t="shared" si="92"/>
        <v>5.0600000000000005</v>
      </c>
      <c r="F203" s="33">
        <f t="shared" ref="F203:F216" si="93">E203/3</f>
        <v>1.6866666666666668</v>
      </c>
      <c r="G203" s="28"/>
      <c r="H203" s="25" t="s">
        <v>25</v>
      </c>
      <c r="I203" s="25" t="s">
        <v>26</v>
      </c>
      <c r="J203" s="25" t="s">
        <v>27</v>
      </c>
      <c r="K203" s="25" t="s">
        <v>28</v>
      </c>
      <c r="L203" s="25" t="s">
        <v>29</v>
      </c>
      <c r="M203" s="25" t="s">
        <v>30</v>
      </c>
      <c r="N203" s="32"/>
      <c r="O203" s="30">
        <v>2</v>
      </c>
      <c r="P203" s="33">
        <f>SUM(F211:F219)/9</f>
        <v>1.5422222222222224</v>
      </c>
      <c r="Q203" s="31" t="e">
        <f>RANK(P203,P$9:P$10,0)</f>
        <v>#N/A</v>
      </c>
      <c r="S203" s="26">
        <f>P203*1835</f>
        <v>2829.9777777777781</v>
      </c>
      <c r="T203" s="26"/>
      <c r="U203" s="26"/>
    </row>
    <row r="204" spans="1:21" x14ac:dyDescent="0.25">
      <c r="A204" s="27" t="s">
        <v>31</v>
      </c>
      <c r="B204" s="7">
        <v>1.95</v>
      </c>
      <c r="C204" s="7">
        <v>1.47</v>
      </c>
      <c r="D204" s="7">
        <v>1.7200000000000002</v>
      </c>
      <c r="E204" s="33">
        <f t="shared" si="92"/>
        <v>5.1400000000000006</v>
      </c>
      <c r="F204" s="33">
        <f t="shared" si="93"/>
        <v>1.7133333333333336</v>
      </c>
      <c r="G204" s="28" t="s">
        <v>32</v>
      </c>
      <c r="H204" s="28">
        <f>B200-1</f>
        <v>2</v>
      </c>
      <c r="I204" s="28">
        <f>D223</f>
        <v>0.20878148148148057</v>
      </c>
      <c r="J204" s="28">
        <f>I204/H204</f>
        <v>0.10439074074074028</v>
      </c>
      <c r="K204" s="28">
        <f>J204/$J$16</f>
        <v>6.7563011583556412</v>
      </c>
      <c r="L204" s="28">
        <f>FINV(0.05,H204,$H$16)</f>
        <v>3.275897990672394</v>
      </c>
      <c r="M204" s="28" t="str">
        <f>IF(K204&gt;=L204, "S", "NS")</f>
        <v>S</v>
      </c>
      <c r="N204" s="21"/>
      <c r="O204" s="25" t="s">
        <v>33</v>
      </c>
      <c r="P204" s="33">
        <f>SQRT(J209/(3*9))</f>
        <v>2.6434553235810409E-2</v>
      </c>
      <c r="S204" s="26"/>
      <c r="T204" s="26"/>
      <c r="U204" s="26"/>
    </row>
    <row r="205" spans="1:21" x14ac:dyDescent="0.25">
      <c r="A205" s="27" t="s">
        <v>34</v>
      </c>
      <c r="B205" s="7">
        <v>1.59</v>
      </c>
      <c r="C205" s="7">
        <v>1.61</v>
      </c>
      <c r="D205" s="7">
        <v>1.58</v>
      </c>
      <c r="E205" s="33">
        <f t="shared" si="92"/>
        <v>4.78</v>
      </c>
      <c r="F205" s="33">
        <f t="shared" si="93"/>
        <v>1.5933333333333335</v>
      </c>
      <c r="G205" s="28" t="s">
        <v>35</v>
      </c>
      <c r="H205" s="28">
        <f>D199-1</f>
        <v>17</v>
      </c>
      <c r="I205" s="28">
        <f>B224</f>
        <v>0.74380925925927954</v>
      </c>
      <c r="J205" s="28">
        <f t="shared" ref="J205:J209" si="94">I205/H205</f>
        <v>4.375348583878115E-2</v>
      </c>
      <c r="K205" s="28">
        <f>J205/$J$16</f>
        <v>2.8317811039277991</v>
      </c>
      <c r="L205" s="28">
        <f>FINV(0.05,H205,$H$16)</f>
        <v>1.9332068318040869</v>
      </c>
      <c r="M205" s="34" t="str">
        <f t="shared" ref="M205" si="95">IF(K205&gt;=L205, "S", "NS")</f>
        <v>S</v>
      </c>
      <c r="N205" s="25" t="s">
        <v>36</v>
      </c>
      <c r="O205" s="25" t="s">
        <v>37</v>
      </c>
      <c r="P205" s="33">
        <f>SQRT((2*J209)/(3*9))*L210</f>
        <v>7.5973639482846314E-2</v>
      </c>
      <c r="S205" s="26"/>
      <c r="T205" s="26"/>
      <c r="U205" s="26"/>
    </row>
    <row r="206" spans="1:21" x14ac:dyDescent="0.25">
      <c r="A206" s="27" t="s">
        <v>38</v>
      </c>
      <c r="B206" s="7">
        <v>1.7300000000000002</v>
      </c>
      <c r="C206" s="7">
        <v>1.6700000000000002</v>
      </c>
      <c r="D206" s="7">
        <v>1.58</v>
      </c>
      <c r="E206" s="33">
        <f t="shared" si="92"/>
        <v>4.9800000000000004</v>
      </c>
      <c r="F206" s="33">
        <f t="shared" si="93"/>
        <v>1.6600000000000001</v>
      </c>
      <c r="G206" s="28" t="s">
        <v>39</v>
      </c>
      <c r="H206" s="28">
        <f>B198-1</f>
        <v>1</v>
      </c>
      <c r="I206" s="28">
        <f>(SUM(E202:E210)^2+SUM(E211:E219)^2)/27-B222</f>
        <v>0.13400185185187752</v>
      </c>
      <c r="J206" s="28">
        <f t="shared" si="94"/>
        <v>0.13400185185187752</v>
      </c>
      <c r="K206" s="28">
        <f>J206/$J$16</f>
        <v>8.6727698305843131</v>
      </c>
      <c r="L206" s="28">
        <f>FINV(0.05,H206,$H$16)</f>
        <v>4.1300177456520188</v>
      </c>
      <c r="M206" s="28" t="str">
        <f>IF(K206&gt;=L206, "S", "NS")</f>
        <v>S</v>
      </c>
      <c r="N206" s="21"/>
      <c r="O206" s="30">
        <v>1</v>
      </c>
      <c r="P206" s="33">
        <f>(F202+F211)/2</f>
        <v>1.395</v>
      </c>
      <c r="Q206" s="31" t="e">
        <f>RANK(P206,P$13:P$21,0)</f>
        <v>#N/A</v>
      </c>
      <c r="R206" s="35">
        <v>9</v>
      </c>
      <c r="S206" s="36">
        <f>P206*1835</f>
        <v>2559.8249999999998</v>
      </c>
      <c r="T206" s="36"/>
      <c r="U206" s="36"/>
    </row>
    <row r="207" spans="1:21" x14ac:dyDescent="0.25">
      <c r="A207" s="27" t="s">
        <v>40</v>
      </c>
      <c r="B207" s="7">
        <v>1.84</v>
      </c>
      <c r="C207" s="7">
        <v>1.78</v>
      </c>
      <c r="D207" s="7">
        <v>1.8800000000000001</v>
      </c>
      <c r="E207" s="33">
        <f t="shared" si="92"/>
        <v>5.5</v>
      </c>
      <c r="F207" s="33">
        <f t="shared" si="93"/>
        <v>1.8333333333333333</v>
      </c>
      <c r="G207" s="28" t="s">
        <v>41</v>
      </c>
      <c r="H207" s="28">
        <f>B199-1</f>
        <v>8</v>
      </c>
      <c r="I207" s="28">
        <f>((E202+E211)^2+(E203+E212)^2+(E204+E213)^2+(E205+E214)^2+(E206+E215)^2+(E207+E216)^2+(E208+E217)^2+(E209+E218)^2+(E210+E219)^2/6)-B222</f>
        <v>620.54314259259274</v>
      </c>
      <c r="J207" s="28">
        <f t="shared" si="94"/>
        <v>77.567892824074093</v>
      </c>
      <c r="K207" s="28">
        <f>J207/$J$16</f>
        <v>5020.292416930517</v>
      </c>
      <c r="L207" s="28">
        <f>FINV(0.05,H207,$H$16)</f>
        <v>2.2253399674380931</v>
      </c>
      <c r="M207" s="28" t="str">
        <f>IF(K207&gt;=L207, "S", "NS")</f>
        <v>S</v>
      </c>
      <c r="N207" s="21"/>
      <c r="O207" s="30">
        <v>2</v>
      </c>
      <c r="P207" s="33">
        <f t="shared" ref="P207:P214" si="96">(F203+F212)/2</f>
        <v>1.6733333333333333</v>
      </c>
      <c r="Q207" s="31" t="e">
        <f t="shared" ref="Q207:Q214" si="97">RANK(P207,P$13:P$21,0)</f>
        <v>#N/A</v>
      </c>
      <c r="R207" s="37">
        <v>5</v>
      </c>
      <c r="S207" s="36">
        <f t="shared" ref="S207:S214" si="98">P207*1835</f>
        <v>3070.5666666666666</v>
      </c>
      <c r="T207" s="26"/>
      <c r="U207" s="26"/>
    </row>
    <row r="208" spans="1:21" x14ac:dyDescent="0.25">
      <c r="A208" s="27" t="s">
        <v>42</v>
      </c>
      <c r="B208" s="7">
        <v>1.62</v>
      </c>
      <c r="C208" s="7">
        <v>1.6500000000000001</v>
      </c>
      <c r="D208" s="7">
        <v>1.6700000000000002</v>
      </c>
      <c r="E208" s="33">
        <f t="shared" si="92"/>
        <v>4.9400000000000004</v>
      </c>
      <c r="F208" s="33">
        <f t="shared" si="93"/>
        <v>1.6466666666666667</v>
      </c>
      <c r="G208" s="38" t="s">
        <v>43</v>
      </c>
      <c r="H208" s="28">
        <f>H206*H207</f>
        <v>8</v>
      </c>
      <c r="I208" s="28">
        <f>I205-(I206+I207)</f>
        <v>-619.93333518518534</v>
      </c>
      <c r="J208" s="28">
        <f t="shared" si="94"/>
        <v>-77.491666898148168</v>
      </c>
      <c r="K208" s="39">
        <f>J208/$J$16</f>
        <v>-5015.358978313493</v>
      </c>
      <c r="L208" s="28">
        <f>FINV(0.05,H208,$H$16)</f>
        <v>2.2253399674380931</v>
      </c>
      <c r="M208" s="28" t="str">
        <f t="shared" ref="M208" si="99">IF(K208&gt;=L208, "S", "NS")</f>
        <v>NS</v>
      </c>
      <c r="N208" s="21"/>
      <c r="O208" s="30">
        <v>3</v>
      </c>
      <c r="P208" s="33">
        <f t="shared" si="96"/>
        <v>1.6500000000000001</v>
      </c>
      <c r="Q208" s="31" t="e">
        <f t="shared" si="97"/>
        <v>#N/A</v>
      </c>
      <c r="R208" s="37">
        <v>2</v>
      </c>
      <c r="S208" s="36">
        <f t="shared" si="98"/>
        <v>3027.7500000000005</v>
      </c>
      <c r="T208" s="26"/>
      <c r="U208" s="26"/>
    </row>
    <row r="209" spans="1:21" x14ac:dyDescent="0.25">
      <c r="A209" s="27" t="s">
        <v>44</v>
      </c>
      <c r="B209" s="7">
        <v>1.7100000000000002</v>
      </c>
      <c r="C209" s="7">
        <v>1.4</v>
      </c>
      <c r="D209" s="7">
        <v>1.91</v>
      </c>
      <c r="E209" s="33">
        <f t="shared" si="92"/>
        <v>5.0200000000000005</v>
      </c>
      <c r="F209" s="33">
        <f t="shared" si="93"/>
        <v>1.6733333333333336</v>
      </c>
      <c r="G209" s="40" t="s">
        <v>45</v>
      </c>
      <c r="H209" s="28">
        <f>((B200-1)*(B198*B199-1))</f>
        <v>34</v>
      </c>
      <c r="I209" s="28">
        <f>D224</f>
        <v>0.64148518518518927</v>
      </c>
      <c r="J209" s="28">
        <f t="shared" si="94"/>
        <v>1.8867211328976154E-2</v>
      </c>
      <c r="O209" s="30">
        <v>4</v>
      </c>
      <c r="P209" s="33">
        <f t="shared" si="96"/>
        <v>1.5450000000000002</v>
      </c>
      <c r="Q209" s="31" t="e">
        <f t="shared" si="97"/>
        <v>#N/A</v>
      </c>
      <c r="R209" s="37">
        <v>7</v>
      </c>
      <c r="S209" s="36">
        <f t="shared" si="98"/>
        <v>2835.0750000000003</v>
      </c>
      <c r="T209" s="26"/>
      <c r="U209" s="26"/>
    </row>
    <row r="210" spans="1:21" x14ac:dyDescent="0.25">
      <c r="A210" s="27" t="s">
        <v>46</v>
      </c>
      <c r="B210" s="7">
        <v>1.58</v>
      </c>
      <c r="C210" s="7">
        <v>1.25</v>
      </c>
      <c r="D210" s="7">
        <v>1.85</v>
      </c>
      <c r="E210" s="33">
        <f t="shared" si="92"/>
        <v>4.68</v>
      </c>
      <c r="F210" s="33">
        <f t="shared" si="93"/>
        <v>1.5599999999999998</v>
      </c>
      <c r="G210" s="39" t="s">
        <v>20</v>
      </c>
      <c r="H210" s="28">
        <f>SUM(H204:H209)-H205</f>
        <v>53</v>
      </c>
      <c r="I210" s="28">
        <f>B223</f>
        <v>1.5940759259259494</v>
      </c>
      <c r="K210" s="28" t="s">
        <v>47</v>
      </c>
      <c r="L210" s="16">
        <f>TINV(0.05,34)</f>
        <v>2.0322445093177191</v>
      </c>
      <c r="O210" s="30">
        <v>5</v>
      </c>
      <c r="P210" s="33">
        <f t="shared" si="96"/>
        <v>1.6483333333333334</v>
      </c>
      <c r="Q210" s="31" t="e">
        <f t="shared" si="97"/>
        <v>#N/A</v>
      </c>
      <c r="R210" s="35">
        <v>3</v>
      </c>
      <c r="S210" s="36">
        <f t="shared" si="98"/>
        <v>3024.6916666666671</v>
      </c>
      <c r="T210" s="41"/>
      <c r="U210" s="41"/>
    </row>
    <row r="211" spans="1:21" x14ac:dyDescent="0.25">
      <c r="A211" s="27" t="s">
        <v>48</v>
      </c>
      <c r="B211" s="7">
        <v>1.37</v>
      </c>
      <c r="C211" s="7">
        <v>1.3900000000000001</v>
      </c>
      <c r="D211" s="7">
        <v>1.3800000000000001</v>
      </c>
      <c r="E211" s="33">
        <f t="shared" si="92"/>
        <v>4.1400000000000006</v>
      </c>
      <c r="F211" s="33">
        <f t="shared" si="93"/>
        <v>1.3800000000000001</v>
      </c>
      <c r="G211" s="42" t="s">
        <v>33</v>
      </c>
      <c r="H211" s="28">
        <f>SQRT(J209/3)</f>
        <v>7.9303659707431223E-2</v>
      </c>
      <c r="O211" s="30">
        <v>6</v>
      </c>
      <c r="P211" s="33">
        <f t="shared" si="96"/>
        <v>1.7649999999999999</v>
      </c>
      <c r="Q211" s="31" t="e">
        <f t="shared" si="97"/>
        <v>#N/A</v>
      </c>
      <c r="R211" s="37">
        <v>1</v>
      </c>
      <c r="S211" s="36">
        <f t="shared" si="98"/>
        <v>3238.7749999999996</v>
      </c>
      <c r="T211" s="41"/>
      <c r="U211" s="41"/>
    </row>
    <row r="212" spans="1:21" x14ac:dyDescent="0.25">
      <c r="A212" s="27" t="s">
        <v>49</v>
      </c>
      <c r="B212" s="7">
        <v>1.68</v>
      </c>
      <c r="C212" s="7">
        <v>1.4</v>
      </c>
      <c r="D212" s="7">
        <v>1.9</v>
      </c>
      <c r="E212" s="33">
        <f t="shared" si="92"/>
        <v>4.9800000000000004</v>
      </c>
      <c r="F212" s="33">
        <f t="shared" si="93"/>
        <v>1.6600000000000001</v>
      </c>
      <c r="G212" s="42" t="s">
        <v>37</v>
      </c>
      <c r="H212" s="28">
        <f>(SQRT((2*J209)/3))*L210</f>
        <v>0.2279209184485389</v>
      </c>
      <c r="O212" s="30">
        <v>7</v>
      </c>
      <c r="P212" s="33">
        <f t="shared" si="96"/>
        <v>1.5549999999999999</v>
      </c>
      <c r="Q212" s="31" t="e">
        <f t="shared" si="97"/>
        <v>#N/A</v>
      </c>
      <c r="R212" s="37">
        <v>6</v>
      </c>
      <c r="S212" s="36">
        <f t="shared" si="98"/>
        <v>2853.4249999999997</v>
      </c>
      <c r="T212" s="41"/>
      <c r="U212" s="41"/>
    </row>
    <row r="213" spans="1:21" x14ac:dyDescent="0.25">
      <c r="A213" s="27" t="s">
        <v>50</v>
      </c>
      <c r="B213" s="7">
        <v>1.57</v>
      </c>
      <c r="C213" s="7">
        <v>1.6800000000000002</v>
      </c>
      <c r="D213" s="7">
        <v>1.51</v>
      </c>
      <c r="E213" s="33">
        <f t="shared" si="92"/>
        <v>4.76</v>
      </c>
      <c r="F213" s="33">
        <f t="shared" si="93"/>
        <v>1.5866666666666667</v>
      </c>
      <c r="G213" s="42" t="s">
        <v>51</v>
      </c>
      <c r="H213" s="28">
        <f>((SQRT(J209))/F220)*100</f>
        <v>8.6278123337546564</v>
      </c>
      <c r="O213" s="30">
        <v>8</v>
      </c>
      <c r="P213" s="33">
        <f t="shared" si="96"/>
        <v>1.6</v>
      </c>
      <c r="Q213" s="31" t="e">
        <f t="shared" si="97"/>
        <v>#N/A</v>
      </c>
      <c r="R213" s="35">
        <v>4</v>
      </c>
      <c r="S213" s="36">
        <f t="shared" si="98"/>
        <v>2936</v>
      </c>
      <c r="T213" s="41"/>
      <c r="U213" s="41"/>
    </row>
    <row r="214" spans="1:21" x14ac:dyDescent="0.25">
      <c r="A214" s="27" t="s">
        <v>52</v>
      </c>
      <c r="B214" s="7">
        <v>1.4700000000000002</v>
      </c>
      <c r="C214" s="7">
        <v>1.3</v>
      </c>
      <c r="D214" s="7">
        <v>1.72</v>
      </c>
      <c r="E214" s="33">
        <f t="shared" si="92"/>
        <v>4.49</v>
      </c>
      <c r="F214" s="33">
        <f t="shared" si="93"/>
        <v>1.4966666666666668</v>
      </c>
      <c r="O214" s="30">
        <v>9</v>
      </c>
      <c r="P214" s="33">
        <f t="shared" si="96"/>
        <v>1.4966666666666666</v>
      </c>
      <c r="Q214" s="31" t="e">
        <f t="shared" si="97"/>
        <v>#N/A</v>
      </c>
      <c r="R214" s="37">
        <v>8</v>
      </c>
      <c r="S214" s="36">
        <f t="shared" si="98"/>
        <v>2746.3833333333332</v>
      </c>
      <c r="T214" s="41"/>
      <c r="U214" s="41"/>
    </row>
    <row r="215" spans="1:21" x14ac:dyDescent="0.25">
      <c r="A215" s="27" t="s">
        <v>53</v>
      </c>
      <c r="B215" s="7">
        <v>1.58</v>
      </c>
      <c r="C215" s="7">
        <v>1.41</v>
      </c>
      <c r="D215" s="7">
        <v>1.92</v>
      </c>
      <c r="E215" s="33">
        <f t="shared" si="92"/>
        <v>4.91</v>
      </c>
      <c r="F215" s="33">
        <f t="shared" si="93"/>
        <v>1.6366666666666667</v>
      </c>
      <c r="H215" s="16" t="s">
        <v>54</v>
      </c>
      <c r="O215" s="25" t="s">
        <v>33</v>
      </c>
      <c r="P215" s="33">
        <f>SQRT(J209/(3*2))</f>
        <v>5.6076155552034997E-2</v>
      </c>
      <c r="Q215" s="31"/>
      <c r="S215" s="41"/>
      <c r="T215" s="41"/>
      <c r="U215" s="41"/>
    </row>
    <row r="216" spans="1:21" x14ac:dyDescent="0.25">
      <c r="A216" s="27" t="s">
        <v>55</v>
      </c>
      <c r="B216" s="7">
        <v>1.73</v>
      </c>
      <c r="C216" s="7">
        <v>1.7</v>
      </c>
      <c r="D216" s="7">
        <v>1.6600000000000001</v>
      </c>
      <c r="E216" s="33">
        <f t="shared" si="92"/>
        <v>5.09</v>
      </c>
      <c r="F216" s="33">
        <f t="shared" si="93"/>
        <v>1.6966666666666665</v>
      </c>
      <c r="G216" s="43">
        <v>1</v>
      </c>
      <c r="H216" s="16">
        <f>F202-F211</f>
        <v>3.0000000000000027E-2</v>
      </c>
      <c r="I216" s="46">
        <f>B202+0.11</f>
        <v>1.4500000000000002</v>
      </c>
      <c r="J216" s="46">
        <f t="shared" ref="J216:J233" si="100">C202+0.11</f>
        <v>1.5200000000000002</v>
      </c>
      <c r="K216" s="46">
        <f t="shared" ref="K216:K233" si="101">D202+0.11</f>
        <v>1.5900000000000003</v>
      </c>
      <c r="N216" s="25" t="s">
        <v>41</v>
      </c>
      <c r="O216" s="25" t="s">
        <v>37</v>
      </c>
      <c r="P216" s="33">
        <f>SQRT((2*J209)/(3*2))*L210</f>
        <v>0.16116442700922792</v>
      </c>
      <c r="Q216" s="31"/>
      <c r="S216" s="41"/>
      <c r="T216" s="41"/>
      <c r="U216" s="41"/>
    </row>
    <row r="217" spans="1:21" x14ac:dyDescent="0.25">
      <c r="A217" s="27" t="s">
        <v>56</v>
      </c>
      <c r="B217" s="7">
        <v>1.45</v>
      </c>
      <c r="C217" s="7">
        <v>1.48</v>
      </c>
      <c r="D217" s="7">
        <v>1.46</v>
      </c>
      <c r="E217" s="33">
        <f t="shared" si="92"/>
        <v>4.3899999999999997</v>
      </c>
      <c r="F217" s="33">
        <f>E217/3</f>
        <v>1.4633333333333332</v>
      </c>
      <c r="G217" s="43">
        <v>2</v>
      </c>
      <c r="H217" s="16">
        <f t="shared" ref="H217:H224" si="102">F203-F212</f>
        <v>2.6666666666666616E-2</v>
      </c>
      <c r="I217" s="46">
        <f t="shared" ref="I217:I233" si="103">B203+0.11</f>
        <v>1.6900000000000002</v>
      </c>
      <c r="J217" s="46">
        <f t="shared" si="100"/>
        <v>1.8200000000000003</v>
      </c>
      <c r="K217" s="46">
        <f t="shared" si="101"/>
        <v>1.8800000000000001</v>
      </c>
      <c r="Q217" s="31"/>
      <c r="S217" s="41"/>
      <c r="T217" s="41"/>
      <c r="U217" s="41"/>
    </row>
    <row r="218" spans="1:21" x14ac:dyDescent="0.25">
      <c r="A218" s="27" t="s">
        <v>57</v>
      </c>
      <c r="B218" s="7">
        <v>1.55</v>
      </c>
      <c r="C218" s="7">
        <v>1.5</v>
      </c>
      <c r="D218" s="7">
        <v>1.53</v>
      </c>
      <c r="E218" s="33">
        <f t="shared" si="92"/>
        <v>4.58</v>
      </c>
      <c r="F218" s="33">
        <f t="shared" ref="F218:F219" si="104">E218/3</f>
        <v>1.5266666666666666</v>
      </c>
      <c r="G218" s="43">
        <v>3</v>
      </c>
      <c r="H218" s="16">
        <f t="shared" si="102"/>
        <v>0.12666666666666693</v>
      </c>
      <c r="I218" s="46">
        <f t="shared" si="103"/>
        <v>2.06</v>
      </c>
      <c r="J218" s="46">
        <f t="shared" si="100"/>
        <v>1.58</v>
      </c>
      <c r="K218" s="46">
        <f t="shared" si="101"/>
        <v>1.8300000000000003</v>
      </c>
      <c r="S218" s="41"/>
      <c r="T218" s="41"/>
      <c r="U218" s="41"/>
    </row>
    <row r="219" spans="1:21" x14ac:dyDescent="0.25">
      <c r="A219" s="27" t="s">
        <v>58</v>
      </c>
      <c r="B219" s="7">
        <v>1.37</v>
      </c>
      <c r="C219" s="7">
        <v>1.45</v>
      </c>
      <c r="D219" s="7">
        <v>1.48</v>
      </c>
      <c r="E219" s="33">
        <f t="shared" si="92"/>
        <v>4.3000000000000007</v>
      </c>
      <c r="F219" s="33">
        <f t="shared" si="104"/>
        <v>1.4333333333333336</v>
      </c>
      <c r="G219" s="43">
        <v>4</v>
      </c>
      <c r="H219" s="16">
        <f t="shared" si="102"/>
        <v>9.6666666666666679E-2</v>
      </c>
      <c r="I219" s="46">
        <f t="shared" si="103"/>
        <v>1.7000000000000002</v>
      </c>
      <c r="J219" s="46">
        <f t="shared" si="100"/>
        <v>1.7200000000000002</v>
      </c>
      <c r="K219" s="46">
        <f t="shared" si="101"/>
        <v>1.6900000000000002</v>
      </c>
    </row>
    <row r="220" spans="1:21" x14ac:dyDescent="0.25">
      <c r="A220" s="25" t="s">
        <v>20</v>
      </c>
      <c r="B220" s="28">
        <f>SUM(B202:B219)</f>
        <v>28.71</v>
      </c>
      <c r="C220" s="28">
        <f>SUM(C202:C219)</f>
        <v>27.26</v>
      </c>
      <c r="D220" s="28">
        <f>SUM(D202:D219)</f>
        <v>30</v>
      </c>
      <c r="E220" s="28">
        <f>SUM(E202:E219)</f>
        <v>85.97</v>
      </c>
      <c r="F220" s="28">
        <f>AVERAGE(B202:D219)</f>
        <v>1.5920370370370374</v>
      </c>
      <c r="G220" s="43">
        <v>5</v>
      </c>
      <c r="H220" s="16">
        <f t="shared" si="102"/>
        <v>2.3333333333333428E-2</v>
      </c>
      <c r="I220" s="46">
        <f t="shared" si="103"/>
        <v>1.8400000000000003</v>
      </c>
      <c r="J220" s="46">
        <f t="shared" si="100"/>
        <v>1.7800000000000002</v>
      </c>
      <c r="K220" s="46">
        <f t="shared" si="101"/>
        <v>1.6900000000000002</v>
      </c>
    </row>
    <row r="221" spans="1:21" x14ac:dyDescent="0.25">
      <c r="A221" s="25" t="s">
        <v>11</v>
      </c>
      <c r="B221" s="28">
        <f>B220/18</f>
        <v>1.595</v>
      </c>
      <c r="C221" s="28">
        <f>C220/18</f>
        <v>1.5144444444444445</v>
      </c>
      <c r="D221" s="28">
        <f>D220/18</f>
        <v>1.6666666666666667</v>
      </c>
      <c r="G221" s="43">
        <v>6</v>
      </c>
      <c r="H221" s="16">
        <f t="shared" si="102"/>
        <v>0.13666666666666671</v>
      </c>
      <c r="I221" s="46">
        <f t="shared" si="103"/>
        <v>1.9500000000000002</v>
      </c>
      <c r="J221" s="46">
        <f t="shared" si="100"/>
        <v>1.8900000000000001</v>
      </c>
      <c r="K221" s="46">
        <f t="shared" si="101"/>
        <v>1.9900000000000002</v>
      </c>
    </row>
    <row r="222" spans="1:21" x14ac:dyDescent="0.25">
      <c r="A222" s="25" t="s">
        <v>59</v>
      </c>
      <c r="B222" s="28">
        <f>(E220*E220)/54</f>
        <v>136.86742407407408</v>
      </c>
      <c r="C222" s="28"/>
      <c r="D222" s="28"/>
      <c r="G222" s="43">
        <v>7</v>
      </c>
      <c r="H222" s="16">
        <f t="shared" si="102"/>
        <v>0.18333333333333357</v>
      </c>
      <c r="I222" s="46">
        <f t="shared" si="103"/>
        <v>1.7300000000000002</v>
      </c>
      <c r="J222" s="46">
        <f t="shared" si="100"/>
        <v>1.7600000000000002</v>
      </c>
      <c r="K222" s="46">
        <f t="shared" si="101"/>
        <v>1.7800000000000002</v>
      </c>
    </row>
    <row r="223" spans="1:21" x14ac:dyDescent="0.25">
      <c r="A223" s="25" t="s">
        <v>60</v>
      </c>
      <c r="B223" s="28">
        <f>SUMSQ(B202:D219)-B222</f>
        <v>1.5940759259259494</v>
      </c>
      <c r="C223" s="25" t="s">
        <v>61</v>
      </c>
      <c r="D223" s="28">
        <f>(SUMSQ(B220:D220)/18)-B222</f>
        <v>0.20878148148148057</v>
      </c>
      <c r="G223" s="43">
        <v>8</v>
      </c>
      <c r="H223" s="16">
        <f t="shared" si="102"/>
        <v>0.14666666666666694</v>
      </c>
      <c r="I223" s="46">
        <f t="shared" si="103"/>
        <v>1.8200000000000003</v>
      </c>
      <c r="J223" s="46">
        <f t="shared" si="100"/>
        <v>1.51</v>
      </c>
      <c r="K223" s="46">
        <f t="shared" si="101"/>
        <v>2.02</v>
      </c>
    </row>
    <row r="224" spans="1:21" x14ac:dyDescent="0.25">
      <c r="A224" s="25" t="s">
        <v>62</v>
      </c>
      <c r="B224" s="28">
        <f>(SUMSQ(E202:E219)/3)-B222</f>
        <v>0.74380925925927954</v>
      </c>
      <c r="C224" s="25" t="s">
        <v>63</v>
      </c>
      <c r="D224" s="28">
        <f>B223-B224-D223</f>
        <v>0.64148518518518927</v>
      </c>
      <c r="G224" s="43">
        <v>9</v>
      </c>
      <c r="H224" s="16">
        <f t="shared" si="102"/>
        <v>0.12666666666666626</v>
      </c>
      <c r="I224" s="46">
        <f t="shared" si="103"/>
        <v>1.6900000000000002</v>
      </c>
      <c r="J224" s="46">
        <f t="shared" si="100"/>
        <v>1.36</v>
      </c>
      <c r="K224" s="46">
        <f t="shared" si="101"/>
        <v>1.9600000000000002</v>
      </c>
    </row>
    <row r="225" spans="1:18" x14ac:dyDescent="0.25">
      <c r="H225" s="27" t="s">
        <v>50</v>
      </c>
      <c r="I225" s="46">
        <f t="shared" si="103"/>
        <v>1.4800000000000002</v>
      </c>
      <c r="J225" s="46">
        <f t="shared" si="100"/>
        <v>1.5000000000000002</v>
      </c>
      <c r="K225" s="46">
        <f t="shared" si="101"/>
        <v>1.4900000000000002</v>
      </c>
    </row>
    <row r="226" spans="1:18" x14ac:dyDescent="0.25">
      <c r="H226" s="27" t="s">
        <v>52</v>
      </c>
      <c r="I226" s="46">
        <f t="shared" si="103"/>
        <v>1.79</v>
      </c>
      <c r="J226" s="46">
        <f t="shared" si="100"/>
        <v>1.51</v>
      </c>
      <c r="K226" s="46">
        <f t="shared" si="101"/>
        <v>2.0099999999999998</v>
      </c>
    </row>
    <row r="227" spans="1:18" x14ac:dyDescent="0.25">
      <c r="H227" s="27" t="s">
        <v>53</v>
      </c>
      <c r="I227" s="46">
        <f t="shared" si="103"/>
        <v>1.6800000000000002</v>
      </c>
      <c r="J227" s="46">
        <f t="shared" si="100"/>
        <v>1.7900000000000003</v>
      </c>
      <c r="K227" s="46">
        <f t="shared" si="101"/>
        <v>1.62</v>
      </c>
    </row>
    <row r="228" spans="1:18" ht="15.75" x14ac:dyDescent="0.25">
      <c r="C228" s="18" t="s">
        <v>82</v>
      </c>
      <c r="H228" s="27" t="s">
        <v>55</v>
      </c>
      <c r="I228" s="46">
        <f t="shared" si="103"/>
        <v>1.5800000000000003</v>
      </c>
      <c r="J228" s="46">
        <f t="shared" si="100"/>
        <v>1.4100000000000001</v>
      </c>
      <c r="K228" s="46">
        <f t="shared" si="101"/>
        <v>1.83</v>
      </c>
    </row>
    <row r="229" spans="1:18" x14ac:dyDescent="0.25">
      <c r="H229" s="27" t="s">
        <v>56</v>
      </c>
      <c r="I229" s="46">
        <f t="shared" si="103"/>
        <v>1.6900000000000002</v>
      </c>
      <c r="J229" s="46">
        <f t="shared" si="100"/>
        <v>1.52</v>
      </c>
      <c r="K229" s="46">
        <f t="shared" si="101"/>
        <v>2.0299999999999998</v>
      </c>
    </row>
    <row r="230" spans="1:18" x14ac:dyDescent="0.25">
      <c r="A230" s="19" t="s">
        <v>13</v>
      </c>
      <c r="B230" s="20">
        <v>2</v>
      </c>
      <c r="C230" s="21"/>
      <c r="D230" s="21"/>
      <c r="E230" s="21"/>
      <c r="F230" s="21"/>
      <c r="G230" s="21"/>
      <c r="H230" s="27" t="s">
        <v>57</v>
      </c>
      <c r="I230" s="46">
        <f t="shared" si="103"/>
        <v>1.84</v>
      </c>
      <c r="J230" s="46">
        <f t="shared" si="100"/>
        <v>1.81</v>
      </c>
      <c r="K230" s="46">
        <f t="shared" si="101"/>
        <v>1.7700000000000002</v>
      </c>
      <c r="L230" s="21"/>
      <c r="M230" s="22"/>
      <c r="N230" s="22"/>
      <c r="O230" s="21"/>
      <c r="P230" s="21"/>
    </row>
    <row r="231" spans="1:18" x14ac:dyDescent="0.25">
      <c r="A231" s="19" t="s">
        <v>14</v>
      </c>
      <c r="B231" s="20">
        <v>9</v>
      </c>
      <c r="C231" s="21" t="s">
        <v>15</v>
      </c>
      <c r="D231" s="21">
        <v>18</v>
      </c>
      <c r="E231" s="21"/>
      <c r="F231" s="21"/>
      <c r="G231" s="21"/>
      <c r="H231" s="27" t="s">
        <v>58</v>
      </c>
      <c r="I231" s="46">
        <f t="shared" si="103"/>
        <v>1.56</v>
      </c>
      <c r="J231" s="46">
        <f t="shared" si="100"/>
        <v>1.59</v>
      </c>
      <c r="K231" s="46">
        <f t="shared" si="101"/>
        <v>1.57</v>
      </c>
      <c r="L231" s="21"/>
      <c r="M231" s="22"/>
      <c r="N231" s="22"/>
      <c r="O231" s="21"/>
      <c r="P231" s="21"/>
    </row>
    <row r="232" spans="1:18" x14ac:dyDescent="0.25">
      <c r="A232" s="15" t="s">
        <v>16</v>
      </c>
      <c r="B232" s="23">
        <v>3</v>
      </c>
      <c r="I232" s="46">
        <f t="shared" si="103"/>
        <v>1.6600000000000001</v>
      </c>
      <c r="J232" s="46">
        <f t="shared" si="100"/>
        <v>1.61</v>
      </c>
      <c r="K232" s="46">
        <f t="shared" si="101"/>
        <v>1.6400000000000001</v>
      </c>
    </row>
    <row r="233" spans="1:18" x14ac:dyDescent="0.25">
      <c r="A233" s="24" t="s">
        <v>0</v>
      </c>
      <c r="B233" s="25" t="s">
        <v>17</v>
      </c>
      <c r="C233" s="25" t="s">
        <v>18</v>
      </c>
      <c r="D233" s="25" t="s">
        <v>19</v>
      </c>
      <c r="E233" s="25" t="s">
        <v>20</v>
      </c>
      <c r="F233" s="25" t="s">
        <v>11</v>
      </c>
      <c r="I233" s="46">
        <f t="shared" si="103"/>
        <v>1.4800000000000002</v>
      </c>
      <c r="J233" s="46">
        <f t="shared" si="100"/>
        <v>1.56</v>
      </c>
      <c r="K233" s="46">
        <f t="shared" si="101"/>
        <v>1.59</v>
      </c>
      <c r="O233" s="16" t="s">
        <v>21</v>
      </c>
      <c r="R233" s="16"/>
    </row>
    <row r="234" spans="1:18" x14ac:dyDescent="0.25">
      <c r="A234" s="27" t="s">
        <v>22</v>
      </c>
      <c r="B234" s="45">
        <v>1.3599999999999999</v>
      </c>
      <c r="C234" s="45">
        <v>1.73</v>
      </c>
      <c r="D234" s="45">
        <v>1.5</v>
      </c>
      <c r="E234" s="28">
        <f>SUM(B234:D234)</f>
        <v>4.59</v>
      </c>
      <c r="F234" s="28">
        <f>E234/3</f>
        <v>1.53</v>
      </c>
      <c r="H234" s="29"/>
      <c r="I234" s="29"/>
      <c r="J234" s="29" t="s">
        <v>23</v>
      </c>
      <c r="K234" s="29"/>
      <c r="L234" s="29"/>
      <c r="M234" s="29"/>
      <c r="N234" s="29"/>
      <c r="O234" s="30">
        <v>1</v>
      </c>
      <c r="P234" s="33">
        <f>SUM(F234:F242)/9</f>
        <v>1.7618518518518518</v>
      </c>
      <c r="Q234" s="31" t="e">
        <f>RANK(P234,P$105:P$106,0)</f>
        <v>#N/A</v>
      </c>
      <c r="R234" s="16"/>
    </row>
    <row r="235" spans="1:18" x14ac:dyDescent="0.25">
      <c r="A235" s="27" t="s">
        <v>24</v>
      </c>
      <c r="B235" s="45">
        <v>1.5999999999999999</v>
      </c>
      <c r="C235" s="45">
        <v>1.93</v>
      </c>
      <c r="D235" s="45">
        <v>1.89</v>
      </c>
      <c r="E235" s="28">
        <f t="shared" ref="E235:E251" si="105">SUM(B235:D235)</f>
        <v>5.42</v>
      </c>
      <c r="F235" s="28">
        <f t="shared" ref="F235:F248" si="106">E235/3</f>
        <v>1.8066666666666666</v>
      </c>
      <c r="G235" s="28"/>
      <c r="H235" s="25" t="s">
        <v>25</v>
      </c>
      <c r="I235" s="25" t="s">
        <v>26</v>
      </c>
      <c r="J235" s="25" t="s">
        <v>27</v>
      </c>
      <c r="K235" s="25" t="s">
        <v>28</v>
      </c>
      <c r="L235" s="25" t="s">
        <v>29</v>
      </c>
      <c r="M235" s="25" t="s">
        <v>30</v>
      </c>
      <c r="N235" s="32"/>
      <c r="O235" s="30">
        <v>2</v>
      </c>
      <c r="P235" s="33">
        <f>SUM(F243:F251)/9</f>
        <v>1.6985185185185188</v>
      </c>
      <c r="Q235" s="31" t="e">
        <f>RANK(P235,P$105:P$106,0)</f>
        <v>#N/A</v>
      </c>
      <c r="R235" s="16"/>
    </row>
    <row r="236" spans="1:18" x14ac:dyDescent="0.25">
      <c r="A236" s="27" t="s">
        <v>31</v>
      </c>
      <c r="B236" s="45">
        <v>1.73</v>
      </c>
      <c r="C236" s="45">
        <v>1.93</v>
      </c>
      <c r="D236" s="45">
        <v>1.8400000000000003</v>
      </c>
      <c r="E236" s="28">
        <f t="shared" si="105"/>
        <v>5.5</v>
      </c>
      <c r="F236" s="28">
        <f t="shared" si="106"/>
        <v>1.8333333333333333</v>
      </c>
      <c r="G236" s="28" t="s">
        <v>32</v>
      </c>
      <c r="H236" s="28">
        <f>B232-1</f>
        <v>2</v>
      </c>
      <c r="I236" s="28">
        <f>D255</f>
        <v>0.10173703703705428</v>
      </c>
      <c r="J236" s="28">
        <f>I236/H236</f>
        <v>5.0868518518527139E-2</v>
      </c>
      <c r="K236" s="28">
        <f>J236/$J$16</f>
        <v>3.2922750442408928</v>
      </c>
      <c r="L236" s="28">
        <f>FINV(0.05,H236,$H$16)</f>
        <v>3.275897990672394</v>
      </c>
      <c r="M236" s="28" t="str">
        <f>IF(K236&gt;=L236, "S", "NS")</f>
        <v>S</v>
      </c>
      <c r="N236" s="21"/>
      <c r="O236" s="25" t="s">
        <v>33</v>
      </c>
      <c r="P236" s="33">
        <f>SQRT(J241/(3*9))</f>
        <v>2.2025179431919041E-2</v>
      </c>
      <c r="R236" s="16"/>
    </row>
    <row r="237" spans="1:18" x14ac:dyDescent="0.25">
      <c r="A237" s="27" t="s">
        <v>34</v>
      </c>
      <c r="B237" s="45">
        <v>1.7100000000000002</v>
      </c>
      <c r="C237" s="45">
        <v>1.7300000000000002</v>
      </c>
      <c r="D237" s="45">
        <v>1.7000000000000002</v>
      </c>
      <c r="E237" s="28">
        <f t="shared" si="105"/>
        <v>5.1400000000000006</v>
      </c>
      <c r="F237" s="28">
        <f t="shared" si="106"/>
        <v>1.7133333333333336</v>
      </c>
      <c r="G237" s="28" t="s">
        <v>35</v>
      </c>
      <c r="H237" s="28">
        <f>D231-1</f>
        <v>17</v>
      </c>
      <c r="I237" s="28">
        <f>B256</f>
        <v>0.67603148148151604</v>
      </c>
      <c r="J237" s="28">
        <f t="shared" ref="J237:J241" si="107">I237/H237</f>
        <v>3.9766557734206828E-2</v>
      </c>
      <c r="K237" s="28">
        <f>J237/$J$16</f>
        <v>2.5737420596593497</v>
      </c>
      <c r="L237" s="28">
        <f>FINV(0.05,H237,$H$16)</f>
        <v>1.9332068318040869</v>
      </c>
      <c r="M237" s="34" t="str">
        <f t="shared" ref="M237" si="108">IF(K237&gt;=L237, "S", "NS")</f>
        <v>S</v>
      </c>
      <c r="N237" s="25" t="s">
        <v>36</v>
      </c>
      <c r="O237" s="25" t="s">
        <v>37</v>
      </c>
      <c r="P237" s="33">
        <f>SQRT((2*J241)/(3*9))*L242</f>
        <v>6.3300976822970659E-2</v>
      </c>
      <c r="R237" s="16"/>
    </row>
    <row r="238" spans="1:18" x14ac:dyDescent="0.25">
      <c r="A238" s="27" t="s">
        <v>38</v>
      </c>
      <c r="B238" s="45">
        <v>1.8499999999999999</v>
      </c>
      <c r="C238" s="45">
        <v>1.5899999999999999</v>
      </c>
      <c r="D238" s="45">
        <v>1.9</v>
      </c>
      <c r="E238" s="28">
        <f t="shared" si="105"/>
        <v>5.34</v>
      </c>
      <c r="F238" s="28">
        <f t="shared" si="106"/>
        <v>1.78</v>
      </c>
      <c r="G238" s="28" t="s">
        <v>39</v>
      </c>
      <c r="H238" s="28">
        <f>B230-1</f>
        <v>1</v>
      </c>
      <c r="I238" s="28">
        <f>(SUM(E234:E242)^2+SUM(E243:E251)^2)/27-B254</f>
        <v>5.4149999999964393E-2</v>
      </c>
      <c r="J238" s="28">
        <f t="shared" si="107"/>
        <v>5.4149999999964393E-2</v>
      </c>
      <c r="K238" s="28">
        <f>J238/$J$16</f>
        <v>3.5046566882146539</v>
      </c>
      <c r="L238" s="28">
        <f>FINV(0.05,H238,$H$16)</f>
        <v>4.1300177456520188</v>
      </c>
      <c r="M238" s="28" t="str">
        <f>IF(K238&gt;=L238, "S", "NS")</f>
        <v>NS</v>
      </c>
      <c r="N238" s="21"/>
      <c r="O238" s="30">
        <v>1</v>
      </c>
      <c r="P238" s="33">
        <f>(F234+F243)/2</f>
        <v>1.5350000000000001</v>
      </c>
      <c r="Q238" s="31" t="e">
        <f>RANK(P238,P$109:P$117,0)</f>
        <v>#N/A</v>
      </c>
      <c r="R238" s="35">
        <v>9</v>
      </c>
    </row>
    <row r="239" spans="1:18" x14ac:dyDescent="0.25">
      <c r="A239" s="27" t="s">
        <v>40</v>
      </c>
      <c r="B239" s="45">
        <v>1.96</v>
      </c>
      <c r="C239" s="45">
        <v>1.9000000000000001</v>
      </c>
      <c r="D239" s="45">
        <v>2</v>
      </c>
      <c r="E239" s="28">
        <f t="shared" si="105"/>
        <v>5.86</v>
      </c>
      <c r="F239" s="28">
        <f t="shared" si="106"/>
        <v>1.9533333333333334</v>
      </c>
      <c r="G239" s="28" t="s">
        <v>41</v>
      </c>
      <c r="H239" s="28">
        <f>B231-1</f>
        <v>8</v>
      </c>
      <c r="I239" s="28">
        <f>((E234+E243)^2+(E235+E244)^2+(E236+E245)^2+(E237+E246)^2+(E238+E247)^2+(E239+E248)^2+(E240+E249)^2+(E241+E250)^2+(E242+E251)^2/6)-B254</f>
        <v>731.36736481481489</v>
      </c>
      <c r="J239" s="28">
        <f t="shared" si="107"/>
        <v>91.420920601851861</v>
      </c>
      <c r="K239" s="28">
        <f>J239/$J$16</f>
        <v>5916.8779470033542</v>
      </c>
      <c r="L239" s="28">
        <f>FINV(0.05,H239,$H$16)</f>
        <v>2.2253399674380931</v>
      </c>
      <c r="M239" s="28" t="str">
        <f>IF(K239&gt;=L239, "S", "NS")</f>
        <v>S</v>
      </c>
      <c r="N239" s="21"/>
      <c r="O239" s="30">
        <v>2</v>
      </c>
      <c r="P239" s="33">
        <f t="shared" ref="P239:P246" si="109">(F235+F244)/2</f>
        <v>1.8133333333333335</v>
      </c>
      <c r="Q239" s="31" t="e">
        <f t="shared" ref="Q239:Q246" si="110">RANK(P239,P$109:P$117,0)</f>
        <v>#N/A</v>
      </c>
      <c r="R239" s="37">
        <v>5</v>
      </c>
    </row>
    <row r="240" spans="1:18" x14ac:dyDescent="0.25">
      <c r="A240" s="27" t="s">
        <v>42</v>
      </c>
      <c r="B240" s="45">
        <v>1.64</v>
      </c>
      <c r="C240" s="45">
        <v>1.7700000000000002</v>
      </c>
      <c r="D240" s="45">
        <v>1.89</v>
      </c>
      <c r="E240" s="28">
        <f t="shared" si="105"/>
        <v>5.3</v>
      </c>
      <c r="F240" s="28">
        <f t="shared" si="106"/>
        <v>1.7666666666666666</v>
      </c>
      <c r="G240" s="38" t="s">
        <v>43</v>
      </c>
      <c r="H240" s="28">
        <f>H238*H239</f>
        <v>8</v>
      </c>
      <c r="I240" s="28">
        <f>I237-(I238+I239)</f>
        <v>-730.74548333333337</v>
      </c>
      <c r="J240" s="28">
        <f t="shared" si="107"/>
        <v>-91.343185416666671</v>
      </c>
      <c r="K240" s="39">
        <f>J240/$J$16</f>
        <v>-5911.8468272126056</v>
      </c>
      <c r="L240" s="28">
        <f>FINV(0.05,H240,$H$16)</f>
        <v>2.2253399674380931</v>
      </c>
      <c r="M240" s="28" t="str">
        <f t="shared" ref="M240" si="111">IF(K240&gt;=L240, "S", "NS")</f>
        <v>NS</v>
      </c>
      <c r="N240" s="21"/>
      <c r="O240" s="30">
        <v>3</v>
      </c>
      <c r="P240" s="33">
        <f t="shared" si="109"/>
        <v>1.79</v>
      </c>
      <c r="Q240" s="31" t="e">
        <f t="shared" si="110"/>
        <v>#N/A</v>
      </c>
      <c r="R240" s="37">
        <v>2</v>
      </c>
    </row>
    <row r="241" spans="1:18" x14ac:dyDescent="0.25">
      <c r="A241" s="27" t="s">
        <v>44</v>
      </c>
      <c r="B241" s="45">
        <v>1.8300000000000003</v>
      </c>
      <c r="C241" s="45">
        <v>1.7200000000000002</v>
      </c>
      <c r="D241" s="45">
        <v>1.8300000000000003</v>
      </c>
      <c r="E241" s="28">
        <f t="shared" si="105"/>
        <v>5.3800000000000008</v>
      </c>
      <c r="F241" s="28">
        <f t="shared" si="106"/>
        <v>1.7933333333333337</v>
      </c>
      <c r="G241" s="40" t="s">
        <v>45</v>
      </c>
      <c r="H241" s="28">
        <f>((B232-1)*(B230*B231-1))</f>
        <v>34</v>
      </c>
      <c r="I241" s="28">
        <f>D256</f>
        <v>0.4453296296295548</v>
      </c>
      <c r="J241" s="28">
        <f t="shared" si="107"/>
        <v>1.30979302832222E-2</v>
      </c>
      <c r="O241" s="30">
        <v>4</v>
      </c>
      <c r="P241" s="33">
        <f t="shared" si="109"/>
        <v>1.6683333333333337</v>
      </c>
      <c r="Q241" s="31" t="e">
        <f t="shared" si="110"/>
        <v>#N/A</v>
      </c>
      <c r="R241" s="37">
        <v>7</v>
      </c>
    </row>
    <row r="242" spans="1:18" x14ac:dyDescent="0.25">
      <c r="A242" s="27" t="s">
        <v>46</v>
      </c>
      <c r="B242" s="45">
        <v>1.7000000000000002</v>
      </c>
      <c r="C242" s="45">
        <v>1.5699999999999998</v>
      </c>
      <c r="D242" s="45">
        <v>1.77</v>
      </c>
      <c r="E242" s="28">
        <f t="shared" si="105"/>
        <v>5.04</v>
      </c>
      <c r="F242" s="28">
        <f t="shared" si="106"/>
        <v>1.68</v>
      </c>
      <c r="G242" s="39" t="s">
        <v>20</v>
      </c>
      <c r="H242" s="28">
        <f>SUM(H236:H241)-H237</f>
        <v>53</v>
      </c>
      <c r="I242" s="28">
        <f>B255</f>
        <v>1.2230981481481251</v>
      </c>
      <c r="K242" s="28" t="s">
        <v>47</v>
      </c>
      <c r="L242" s="16">
        <f>TINV(0.05,34)</f>
        <v>2.0322445093177191</v>
      </c>
      <c r="O242" s="30">
        <v>5</v>
      </c>
      <c r="P242" s="33">
        <f t="shared" si="109"/>
        <v>1.7883333333333333</v>
      </c>
      <c r="Q242" s="31" t="e">
        <f t="shared" si="110"/>
        <v>#N/A</v>
      </c>
      <c r="R242" s="35">
        <v>3</v>
      </c>
    </row>
    <row r="243" spans="1:18" x14ac:dyDescent="0.25">
      <c r="A243" s="27" t="s">
        <v>48</v>
      </c>
      <c r="B243" s="45">
        <v>1.5300000000000002</v>
      </c>
      <c r="C243" s="45">
        <v>1.45</v>
      </c>
      <c r="D243" s="45">
        <v>1.6400000000000001</v>
      </c>
      <c r="E243" s="28">
        <f t="shared" si="105"/>
        <v>4.620000000000001</v>
      </c>
      <c r="F243" s="28">
        <f t="shared" si="106"/>
        <v>1.5400000000000003</v>
      </c>
      <c r="G243" s="42" t="s">
        <v>33</v>
      </c>
      <c r="H243" s="28">
        <f>SQRT(J241/3)</f>
        <v>6.607553829575713E-2</v>
      </c>
      <c r="O243" s="30">
        <v>6</v>
      </c>
      <c r="P243" s="33">
        <f t="shared" si="109"/>
        <v>1.905</v>
      </c>
      <c r="Q243" s="31" t="e">
        <f t="shared" si="110"/>
        <v>#N/A</v>
      </c>
      <c r="R243" s="37">
        <v>1</v>
      </c>
    </row>
    <row r="244" spans="1:18" x14ac:dyDescent="0.25">
      <c r="A244" s="27" t="s">
        <v>49</v>
      </c>
      <c r="B244" s="45">
        <v>1.84</v>
      </c>
      <c r="C244" s="45">
        <v>1.6600000000000001</v>
      </c>
      <c r="D244" s="45">
        <v>1.96</v>
      </c>
      <c r="E244" s="28">
        <f t="shared" si="105"/>
        <v>5.46</v>
      </c>
      <c r="F244" s="28">
        <f t="shared" si="106"/>
        <v>1.82</v>
      </c>
      <c r="G244" s="42" t="s">
        <v>37</v>
      </c>
      <c r="H244" s="28">
        <f>(SQRT((2*J241)/3))*L242</f>
        <v>0.18990293046891196</v>
      </c>
      <c r="O244" s="30">
        <v>7</v>
      </c>
      <c r="P244" s="33">
        <f t="shared" si="109"/>
        <v>1.6949999999999998</v>
      </c>
      <c r="Q244" s="31" t="e">
        <f t="shared" si="110"/>
        <v>#N/A</v>
      </c>
      <c r="R244" s="37">
        <v>6</v>
      </c>
    </row>
    <row r="245" spans="1:18" x14ac:dyDescent="0.25">
      <c r="A245" s="27" t="s">
        <v>50</v>
      </c>
      <c r="B245" s="45">
        <v>1.7300000000000002</v>
      </c>
      <c r="C245" s="45">
        <v>1.6400000000000001</v>
      </c>
      <c r="D245" s="45">
        <v>1.87</v>
      </c>
      <c r="E245" s="28">
        <f t="shared" si="105"/>
        <v>5.24</v>
      </c>
      <c r="F245" s="28">
        <f t="shared" si="106"/>
        <v>1.7466666666666668</v>
      </c>
      <c r="G245" s="42" t="s">
        <v>51</v>
      </c>
      <c r="H245" s="28">
        <f>((SQRT(J241))/F252)*100</f>
        <v>6.614678616235234</v>
      </c>
      <c r="O245" s="30">
        <v>8</v>
      </c>
      <c r="P245" s="33">
        <f t="shared" si="109"/>
        <v>1.7400000000000002</v>
      </c>
      <c r="Q245" s="31" t="e">
        <f t="shared" si="110"/>
        <v>#N/A</v>
      </c>
      <c r="R245" s="35">
        <v>4</v>
      </c>
    </row>
    <row r="246" spans="1:18" x14ac:dyDescent="0.25">
      <c r="A246" s="27" t="s">
        <v>52</v>
      </c>
      <c r="B246" s="45">
        <v>1.6300000000000003</v>
      </c>
      <c r="C246" s="45">
        <v>1.6600000000000001</v>
      </c>
      <c r="D246" s="45">
        <v>1.5800000000000003</v>
      </c>
      <c r="E246" s="28">
        <f t="shared" si="105"/>
        <v>4.870000000000001</v>
      </c>
      <c r="F246" s="28">
        <f t="shared" si="106"/>
        <v>1.6233333333333337</v>
      </c>
      <c r="H246" s="27" t="s">
        <v>22</v>
      </c>
      <c r="I246" s="46">
        <f>B234-0.06</f>
        <v>1.2999999999999998</v>
      </c>
      <c r="J246" s="46">
        <f t="shared" ref="J246:K246" si="112">C234-0.06</f>
        <v>1.67</v>
      </c>
      <c r="K246" s="46">
        <f t="shared" si="112"/>
        <v>1.44</v>
      </c>
      <c r="O246" s="30">
        <v>9</v>
      </c>
      <c r="P246" s="33">
        <f t="shared" si="109"/>
        <v>1.6366666666666667</v>
      </c>
      <c r="Q246" s="31" t="e">
        <f t="shared" si="110"/>
        <v>#N/A</v>
      </c>
      <c r="R246" s="37">
        <v>8</v>
      </c>
    </row>
    <row r="247" spans="1:18" x14ac:dyDescent="0.25">
      <c r="A247" s="27" t="s">
        <v>53</v>
      </c>
      <c r="B247" s="45">
        <v>1.54</v>
      </c>
      <c r="C247" s="45">
        <v>1.97</v>
      </c>
      <c r="D247" s="45">
        <v>1.8800000000000001</v>
      </c>
      <c r="E247" s="28">
        <f t="shared" si="105"/>
        <v>5.39</v>
      </c>
      <c r="F247" s="28">
        <f t="shared" si="106"/>
        <v>1.7966666666666666</v>
      </c>
      <c r="H247" s="27" t="s">
        <v>24</v>
      </c>
      <c r="I247" s="46">
        <f t="shared" ref="I247:I254" si="113">B235-0.06</f>
        <v>1.5399999999999998</v>
      </c>
      <c r="J247" s="46">
        <f t="shared" ref="J247:J254" si="114">C235-0.06</f>
        <v>1.8699999999999999</v>
      </c>
      <c r="K247" s="46">
        <f t="shared" ref="K247:K254" si="115">D235-0.06</f>
        <v>1.8299999999999998</v>
      </c>
      <c r="O247" s="25" t="s">
        <v>33</v>
      </c>
      <c r="P247" s="33">
        <f>SQRT(J241/(3*2))</f>
        <v>4.6722461199481272E-2</v>
      </c>
      <c r="Q247" s="31"/>
    </row>
    <row r="248" spans="1:18" x14ac:dyDescent="0.25">
      <c r="A248" s="27" t="s">
        <v>55</v>
      </c>
      <c r="B248" s="45">
        <v>1.8900000000000001</v>
      </c>
      <c r="C248" s="45">
        <v>1.6600000000000001</v>
      </c>
      <c r="D248" s="45">
        <v>2.0199999999999996</v>
      </c>
      <c r="E248" s="28">
        <f t="shared" si="105"/>
        <v>5.57</v>
      </c>
      <c r="F248" s="28">
        <f t="shared" si="106"/>
        <v>1.8566666666666667</v>
      </c>
      <c r="H248" s="27" t="s">
        <v>31</v>
      </c>
      <c r="I248" s="46">
        <f t="shared" si="113"/>
        <v>1.67</v>
      </c>
      <c r="J248" s="46">
        <f t="shared" si="114"/>
        <v>1.8699999999999999</v>
      </c>
      <c r="K248" s="46">
        <f t="shared" si="115"/>
        <v>1.7800000000000002</v>
      </c>
      <c r="N248" s="25" t="s">
        <v>41</v>
      </c>
      <c r="O248" s="25" t="s">
        <v>37</v>
      </c>
      <c r="P248" s="33">
        <f>SQRT((2*J241)/(3*2))*L242</f>
        <v>0.13428164990176511</v>
      </c>
      <c r="Q248" s="31"/>
    </row>
    <row r="249" spans="1:18" x14ac:dyDescent="0.25">
      <c r="A249" s="27" t="s">
        <v>56</v>
      </c>
      <c r="B249" s="45">
        <v>1.61</v>
      </c>
      <c r="C249" s="45">
        <v>1.6400000000000001</v>
      </c>
      <c r="D249" s="45">
        <v>1.62</v>
      </c>
      <c r="E249" s="28">
        <f t="shared" si="105"/>
        <v>4.87</v>
      </c>
      <c r="F249" s="28">
        <f>E249/3</f>
        <v>1.6233333333333333</v>
      </c>
      <c r="H249" s="27" t="s">
        <v>34</v>
      </c>
      <c r="I249" s="46">
        <f t="shared" si="113"/>
        <v>1.6500000000000001</v>
      </c>
      <c r="J249" s="46">
        <f t="shared" si="114"/>
        <v>1.6700000000000002</v>
      </c>
      <c r="K249" s="46">
        <f t="shared" si="115"/>
        <v>1.6400000000000001</v>
      </c>
      <c r="Q249" s="31"/>
    </row>
    <row r="250" spans="1:18" x14ac:dyDescent="0.25">
      <c r="A250" s="27" t="s">
        <v>57</v>
      </c>
      <c r="B250" s="45">
        <v>1.7100000000000002</v>
      </c>
      <c r="C250" s="45">
        <v>1.6600000000000001</v>
      </c>
      <c r="D250" s="45">
        <v>1.6900000000000002</v>
      </c>
      <c r="E250" s="28">
        <f t="shared" si="105"/>
        <v>5.0600000000000005</v>
      </c>
      <c r="F250" s="28">
        <f t="shared" ref="F250:F251" si="116">E250/3</f>
        <v>1.6866666666666668</v>
      </c>
      <c r="H250" s="27" t="s">
        <v>38</v>
      </c>
      <c r="I250" s="46">
        <f t="shared" si="113"/>
        <v>1.7899999999999998</v>
      </c>
      <c r="J250" s="46">
        <f t="shared" si="114"/>
        <v>1.5299999999999998</v>
      </c>
      <c r="K250" s="46">
        <f t="shared" si="115"/>
        <v>1.8399999999999999</v>
      </c>
    </row>
    <row r="251" spans="1:18" x14ac:dyDescent="0.25">
      <c r="A251" s="27" t="s">
        <v>58</v>
      </c>
      <c r="B251" s="45">
        <v>1.5300000000000002</v>
      </c>
      <c r="C251" s="45">
        <v>1.61</v>
      </c>
      <c r="D251" s="45">
        <v>1.6400000000000001</v>
      </c>
      <c r="E251" s="28">
        <f t="shared" si="105"/>
        <v>4.7800000000000011</v>
      </c>
      <c r="F251" s="28">
        <f t="shared" si="116"/>
        <v>1.5933333333333337</v>
      </c>
      <c r="H251" s="27" t="s">
        <v>40</v>
      </c>
      <c r="I251" s="46">
        <f t="shared" si="113"/>
        <v>1.9</v>
      </c>
      <c r="J251" s="46">
        <f t="shared" si="114"/>
        <v>1.84</v>
      </c>
      <c r="K251" s="46">
        <f t="shared" si="115"/>
        <v>1.94</v>
      </c>
    </row>
    <row r="252" spans="1:18" x14ac:dyDescent="0.25">
      <c r="A252" s="25" t="s">
        <v>20</v>
      </c>
      <c r="B252" s="28">
        <f>SUM(B234:B251)</f>
        <v>30.390000000000004</v>
      </c>
      <c r="C252" s="28">
        <f t="shared" ref="C252:D252" si="117">SUM(C234:C251)</f>
        <v>30.82</v>
      </c>
      <c r="D252" s="28">
        <f t="shared" si="117"/>
        <v>32.220000000000006</v>
      </c>
      <c r="E252" s="28">
        <f>SUM(E234:E251)</f>
        <v>93.43</v>
      </c>
      <c r="F252" s="28">
        <f>AVERAGE(B234:D251)</f>
        <v>1.730185185185185</v>
      </c>
      <c r="H252" s="27" t="s">
        <v>42</v>
      </c>
      <c r="I252" s="46">
        <f t="shared" si="113"/>
        <v>1.5799999999999998</v>
      </c>
      <c r="J252" s="46">
        <f t="shared" si="114"/>
        <v>1.7100000000000002</v>
      </c>
      <c r="K252" s="46">
        <f t="shared" si="115"/>
        <v>1.8299999999999998</v>
      </c>
    </row>
    <row r="253" spans="1:18" x14ac:dyDescent="0.25">
      <c r="A253" s="25" t="s">
        <v>11</v>
      </c>
      <c r="B253" s="28">
        <f>B252/18</f>
        <v>1.6883333333333335</v>
      </c>
      <c r="C253" s="28">
        <f>C252/18</f>
        <v>1.7122222222222223</v>
      </c>
      <c r="D253" s="28">
        <f>D252/18</f>
        <v>1.7900000000000003</v>
      </c>
      <c r="H253" s="27" t="s">
        <v>44</v>
      </c>
      <c r="I253" s="46">
        <f t="shared" si="113"/>
        <v>1.7700000000000002</v>
      </c>
      <c r="J253" s="46">
        <f t="shared" si="114"/>
        <v>1.6600000000000001</v>
      </c>
      <c r="K253" s="46">
        <f t="shared" si="115"/>
        <v>1.7700000000000002</v>
      </c>
    </row>
    <row r="254" spans="1:18" x14ac:dyDescent="0.25">
      <c r="A254" s="25" t="s">
        <v>59</v>
      </c>
      <c r="B254" s="28">
        <f>(E252*E252)/54</f>
        <v>161.65120185185188</v>
      </c>
      <c r="C254" s="28"/>
      <c r="D254" s="28"/>
      <c r="H254" s="27" t="s">
        <v>46</v>
      </c>
      <c r="I254" s="46">
        <f t="shared" si="113"/>
        <v>1.6400000000000001</v>
      </c>
      <c r="J254" s="46">
        <f t="shared" si="114"/>
        <v>1.5099999999999998</v>
      </c>
      <c r="K254" s="46">
        <f t="shared" si="115"/>
        <v>1.71</v>
      </c>
    </row>
    <row r="255" spans="1:18" x14ac:dyDescent="0.25">
      <c r="A255" s="25" t="s">
        <v>60</v>
      </c>
      <c r="B255" s="28">
        <f>SUMSQ(B234:D251)-B254</f>
        <v>1.2230981481481251</v>
      </c>
      <c r="C255" s="25" t="s">
        <v>61</v>
      </c>
      <c r="D255" s="28">
        <f>(SUMSQ(B252:D252)/18)-B254</f>
        <v>0.10173703703705428</v>
      </c>
      <c r="H255" s="27" t="s">
        <v>48</v>
      </c>
      <c r="I255" s="46">
        <f>B243+0.01</f>
        <v>1.5400000000000003</v>
      </c>
      <c r="J255" s="46">
        <f t="shared" ref="J255:K255" si="118">C243+0.01</f>
        <v>1.46</v>
      </c>
      <c r="K255" s="46">
        <f t="shared" si="118"/>
        <v>1.6500000000000001</v>
      </c>
    </row>
    <row r="256" spans="1:18" x14ac:dyDescent="0.25">
      <c r="A256" s="25" t="s">
        <v>62</v>
      </c>
      <c r="B256" s="28">
        <f>(SUMSQ(E234:E251)/3)-B254</f>
        <v>0.67603148148151604</v>
      </c>
      <c r="C256" s="25" t="s">
        <v>63</v>
      </c>
      <c r="D256" s="28">
        <f>B255-B256-D255</f>
        <v>0.4453296296295548</v>
      </c>
      <c r="H256" s="27" t="s">
        <v>49</v>
      </c>
      <c r="I256" s="46">
        <f t="shared" ref="I256:I263" si="119">B244+0.01</f>
        <v>1.85</v>
      </c>
      <c r="J256" s="46">
        <f t="shared" ref="J256:J263" si="120">C244+0.01</f>
        <v>1.6700000000000002</v>
      </c>
      <c r="K256" s="46">
        <f t="shared" ref="K256:K263" si="121">D244+0.01</f>
        <v>1.97</v>
      </c>
    </row>
    <row r="257" spans="1:21" x14ac:dyDescent="0.25">
      <c r="H257" s="27" t="s">
        <v>50</v>
      </c>
      <c r="I257" s="46">
        <f t="shared" si="119"/>
        <v>1.7400000000000002</v>
      </c>
      <c r="J257" s="46">
        <f t="shared" si="120"/>
        <v>1.6500000000000001</v>
      </c>
      <c r="K257" s="46">
        <f t="shared" si="121"/>
        <v>1.8800000000000001</v>
      </c>
    </row>
    <row r="258" spans="1:21" x14ac:dyDescent="0.25">
      <c r="H258" s="27" t="s">
        <v>52</v>
      </c>
      <c r="I258" s="46">
        <f t="shared" si="119"/>
        <v>1.6400000000000003</v>
      </c>
      <c r="J258" s="46">
        <f t="shared" si="120"/>
        <v>1.6700000000000002</v>
      </c>
      <c r="K258" s="46">
        <f t="shared" si="121"/>
        <v>1.5900000000000003</v>
      </c>
    </row>
    <row r="259" spans="1:21" x14ac:dyDescent="0.25">
      <c r="H259" s="27" t="s">
        <v>53</v>
      </c>
      <c r="I259" s="46">
        <f t="shared" si="119"/>
        <v>1.55</v>
      </c>
      <c r="J259" s="46">
        <f t="shared" si="120"/>
        <v>1.98</v>
      </c>
      <c r="K259" s="46">
        <f t="shared" si="121"/>
        <v>1.8900000000000001</v>
      </c>
    </row>
    <row r="260" spans="1:21" x14ac:dyDescent="0.25">
      <c r="H260" s="27" t="s">
        <v>55</v>
      </c>
      <c r="I260" s="46">
        <f t="shared" si="119"/>
        <v>1.9000000000000001</v>
      </c>
      <c r="J260" s="46">
        <f t="shared" si="120"/>
        <v>1.6700000000000002</v>
      </c>
      <c r="K260" s="46">
        <f t="shared" si="121"/>
        <v>2.0299999999999994</v>
      </c>
    </row>
    <row r="261" spans="1:21" x14ac:dyDescent="0.25">
      <c r="H261" s="27" t="s">
        <v>56</v>
      </c>
      <c r="I261" s="46">
        <f t="shared" si="119"/>
        <v>1.62</v>
      </c>
      <c r="J261" s="46">
        <f t="shared" si="120"/>
        <v>1.6500000000000001</v>
      </c>
      <c r="K261" s="46">
        <f t="shared" si="121"/>
        <v>1.6300000000000001</v>
      </c>
    </row>
    <row r="262" spans="1:21" x14ac:dyDescent="0.25">
      <c r="H262" s="27" t="s">
        <v>57</v>
      </c>
      <c r="I262" s="46">
        <f t="shared" si="119"/>
        <v>1.7200000000000002</v>
      </c>
      <c r="J262" s="46">
        <f t="shared" si="120"/>
        <v>1.6700000000000002</v>
      </c>
      <c r="K262" s="46">
        <f t="shared" si="121"/>
        <v>1.7000000000000002</v>
      </c>
    </row>
    <row r="263" spans="1:21" x14ac:dyDescent="0.25">
      <c r="H263" s="27" t="s">
        <v>58</v>
      </c>
      <c r="I263" s="46">
        <f t="shared" si="119"/>
        <v>1.5400000000000003</v>
      </c>
      <c r="J263" s="46">
        <f t="shared" si="120"/>
        <v>1.62</v>
      </c>
      <c r="K263" s="46">
        <f t="shared" si="121"/>
        <v>1.6500000000000001</v>
      </c>
    </row>
    <row r="265" spans="1:21" ht="18.75" x14ac:dyDescent="0.3">
      <c r="C265" s="53">
        <v>2019</v>
      </c>
    </row>
    <row r="266" spans="1:21" ht="15.75" x14ac:dyDescent="0.25">
      <c r="C266" s="18" t="s">
        <v>83</v>
      </c>
      <c r="I266" s="46">
        <f t="shared" ref="I266:I271" si="122">B252-0.02</f>
        <v>30.370000000000005</v>
      </c>
      <c r="J266" s="46">
        <f t="shared" ref="J266:J271" si="123">C252-0.02</f>
        <v>30.8</v>
      </c>
      <c r="K266" s="46">
        <f t="shared" ref="K266:K271" si="124">D252-0.02</f>
        <v>32.200000000000003</v>
      </c>
    </row>
    <row r="267" spans="1:21" x14ac:dyDescent="0.25">
      <c r="I267" s="46">
        <f t="shared" si="122"/>
        <v>1.6683333333333334</v>
      </c>
      <c r="J267" s="46">
        <f t="shared" si="123"/>
        <v>1.6922222222222223</v>
      </c>
      <c r="K267" s="46">
        <f t="shared" si="124"/>
        <v>1.7700000000000002</v>
      </c>
    </row>
    <row r="268" spans="1:21" x14ac:dyDescent="0.25">
      <c r="A268" s="19" t="s">
        <v>13</v>
      </c>
      <c r="B268" s="20">
        <v>2</v>
      </c>
      <c r="C268" s="21"/>
      <c r="D268" s="21"/>
      <c r="E268" s="21"/>
      <c r="F268" s="21"/>
      <c r="G268" s="21"/>
      <c r="H268" s="21"/>
      <c r="I268" s="46">
        <f t="shared" si="122"/>
        <v>161.63120185185187</v>
      </c>
      <c r="J268" s="46">
        <f t="shared" si="123"/>
        <v>-0.02</v>
      </c>
      <c r="K268" s="46">
        <f t="shared" si="124"/>
        <v>-0.02</v>
      </c>
      <c r="L268" s="21"/>
      <c r="M268" s="22"/>
      <c r="N268" s="22"/>
      <c r="O268" s="21"/>
      <c r="P268" s="21"/>
    </row>
    <row r="269" spans="1:21" x14ac:dyDescent="0.25">
      <c r="A269" s="19" t="s">
        <v>14</v>
      </c>
      <c r="B269" s="20">
        <v>9</v>
      </c>
      <c r="C269" s="21" t="s">
        <v>15</v>
      </c>
      <c r="D269" s="21">
        <v>18</v>
      </c>
      <c r="E269" s="21"/>
      <c r="F269" s="21"/>
      <c r="G269" s="21"/>
      <c r="H269" s="21"/>
      <c r="I269" s="46">
        <f t="shared" si="122"/>
        <v>1.2030981481481251</v>
      </c>
      <c r="J269" s="46" t="e">
        <f t="shared" si="123"/>
        <v>#VALUE!</v>
      </c>
      <c r="K269" s="46">
        <f t="shared" si="124"/>
        <v>8.1737037037054275E-2</v>
      </c>
      <c r="L269" s="21"/>
      <c r="M269" s="22"/>
      <c r="N269" s="22"/>
      <c r="O269" s="21"/>
      <c r="P269" s="21"/>
    </row>
    <row r="270" spans="1:21" x14ac:dyDescent="0.25">
      <c r="A270" s="15" t="s">
        <v>16</v>
      </c>
      <c r="B270" s="23">
        <v>3</v>
      </c>
      <c r="I270" s="46">
        <f t="shared" si="122"/>
        <v>0.65603148148151602</v>
      </c>
      <c r="J270" s="46" t="e">
        <f t="shared" si="123"/>
        <v>#VALUE!</v>
      </c>
      <c r="K270" s="46">
        <f t="shared" si="124"/>
        <v>0.42532962962955478</v>
      </c>
    </row>
    <row r="271" spans="1:21" x14ac:dyDescent="0.25">
      <c r="A271" s="24" t="s">
        <v>0</v>
      </c>
      <c r="B271" s="25" t="s">
        <v>17</v>
      </c>
      <c r="C271" s="25" t="s">
        <v>18</v>
      </c>
      <c r="D271" s="25" t="s">
        <v>19</v>
      </c>
      <c r="E271" s="25" t="s">
        <v>20</v>
      </c>
      <c r="F271" s="25" t="s">
        <v>11</v>
      </c>
      <c r="I271" s="46">
        <f t="shared" si="122"/>
        <v>-0.02</v>
      </c>
      <c r="J271" s="46">
        <f t="shared" si="123"/>
        <v>-0.02</v>
      </c>
      <c r="K271" s="46">
        <f t="shared" si="124"/>
        <v>-0.02</v>
      </c>
      <c r="O271" s="16" t="s">
        <v>21</v>
      </c>
      <c r="S271" s="26">
        <v>2019</v>
      </c>
      <c r="T271" s="26"/>
      <c r="U271" s="26"/>
    </row>
    <row r="272" spans="1:21" x14ac:dyDescent="0.25">
      <c r="A272" s="27" t="s">
        <v>22</v>
      </c>
      <c r="B272" s="7">
        <v>0.14000000000000001</v>
      </c>
      <c r="C272" s="7">
        <v>0.51</v>
      </c>
      <c r="D272" s="7">
        <v>0.1</v>
      </c>
      <c r="E272" s="33">
        <f t="shared" ref="E272:E289" si="125">SUM(B272:D272)</f>
        <v>0.75</v>
      </c>
      <c r="F272" s="33">
        <f>E272/3</f>
        <v>0.25</v>
      </c>
      <c r="H272" s="29"/>
      <c r="I272" s="29"/>
      <c r="J272" s="29" t="s">
        <v>23</v>
      </c>
      <c r="K272" s="29"/>
      <c r="L272" s="29"/>
      <c r="M272" s="29"/>
      <c r="N272" s="29"/>
      <c r="O272" s="30">
        <v>1</v>
      </c>
      <c r="P272" s="33">
        <f>SUM(F272:F280)/9</f>
        <v>0.21259259259259256</v>
      </c>
      <c r="Q272" s="31" t="e">
        <f>RANK(P272,P$9:P$10,0)</f>
        <v>#N/A</v>
      </c>
      <c r="S272" s="26">
        <f>P272*1835</f>
        <v>390.10740740740732</v>
      </c>
      <c r="T272" s="26"/>
      <c r="U272" s="26"/>
    </row>
    <row r="273" spans="1:21" x14ac:dyDescent="0.25">
      <c r="A273" s="27" t="s">
        <v>24</v>
      </c>
      <c r="B273" s="7">
        <v>0.21</v>
      </c>
      <c r="C273" s="7">
        <v>0.25</v>
      </c>
      <c r="D273" s="7">
        <v>0.26</v>
      </c>
      <c r="E273" s="33">
        <f t="shared" si="125"/>
        <v>0.72</v>
      </c>
      <c r="F273" s="33">
        <f t="shared" ref="F273:F286" si="126">E273/3</f>
        <v>0.24</v>
      </c>
      <c r="G273" s="28"/>
      <c r="H273" s="25" t="s">
        <v>25</v>
      </c>
      <c r="I273" s="25" t="s">
        <v>26</v>
      </c>
      <c r="J273" s="25" t="s">
        <v>27</v>
      </c>
      <c r="K273" s="25" t="s">
        <v>28</v>
      </c>
      <c r="L273" s="25" t="s">
        <v>29</v>
      </c>
      <c r="M273" s="25" t="s">
        <v>30</v>
      </c>
      <c r="N273" s="32"/>
      <c r="O273" s="30">
        <v>2</v>
      </c>
      <c r="P273" s="33">
        <f>SUM(F281:F289)/9</f>
        <v>0.28703703703703698</v>
      </c>
      <c r="Q273" s="31" t="e">
        <f>RANK(P273,P$9:P$10,0)</f>
        <v>#N/A</v>
      </c>
      <c r="S273" s="26">
        <f>P273*1835</f>
        <v>526.71296296296282</v>
      </c>
      <c r="T273" s="26"/>
      <c r="U273" s="26"/>
    </row>
    <row r="274" spans="1:21" x14ac:dyDescent="0.25">
      <c r="A274" s="27" t="s">
        <v>31</v>
      </c>
      <c r="B274" s="7">
        <v>0.19</v>
      </c>
      <c r="C274" s="7">
        <v>0.27</v>
      </c>
      <c r="D274" s="7">
        <v>0.22999999999999998</v>
      </c>
      <c r="E274" s="33">
        <f t="shared" si="125"/>
        <v>0.69</v>
      </c>
      <c r="F274" s="33">
        <f t="shared" si="126"/>
        <v>0.22999999999999998</v>
      </c>
      <c r="G274" s="28" t="s">
        <v>32</v>
      </c>
      <c r="H274" s="28">
        <f>B270-1</f>
        <v>2</v>
      </c>
      <c r="I274" s="28">
        <f>D293</f>
        <v>5.8225925925926791E-2</v>
      </c>
      <c r="J274" s="28">
        <f>I274/H274</f>
        <v>2.9112962962963396E-2</v>
      </c>
      <c r="K274" s="28">
        <f>J274/$J$16</f>
        <v>1.8842278921876687</v>
      </c>
      <c r="L274" s="28">
        <f>FINV(0.05,H274,$H$16)</f>
        <v>3.275897990672394</v>
      </c>
      <c r="M274" s="28" t="str">
        <f>IF(K274&gt;=L274, "S", "NS")</f>
        <v>NS</v>
      </c>
      <c r="N274" s="21"/>
      <c r="O274" s="25" t="s">
        <v>33</v>
      </c>
      <c r="P274" s="33">
        <f>SQRT(J279/(3*9))</f>
        <v>2.4467622865904658E-2</v>
      </c>
      <c r="S274" s="26"/>
      <c r="T274" s="26"/>
      <c r="U274" s="26"/>
    </row>
    <row r="275" spans="1:21" x14ac:dyDescent="0.25">
      <c r="A275" s="27" t="s">
        <v>34</v>
      </c>
      <c r="B275" s="7">
        <v>0.25</v>
      </c>
      <c r="C275" s="7">
        <v>0.13</v>
      </c>
      <c r="D275" s="7">
        <v>0.15</v>
      </c>
      <c r="E275" s="33">
        <f t="shared" si="125"/>
        <v>0.53</v>
      </c>
      <c r="F275" s="33">
        <f t="shared" si="126"/>
        <v>0.17666666666666667</v>
      </c>
      <c r="G275" s="28" t="s">
        <v>35</v>
      </c>
      <c r="H275" s="28">
        <f>D269-1</f>
        <v>17</v>
      </c>
      <c r="I275" s="28">
        <f>B294</f>
        <v>0.12269814814814906</v>
      </c>
      <c r="J275" s="28">
        <f t="shared" ref="J275:J279" si="127">I275/H275</f>
        <v>7.2175381263617092E-3</v>
      </c>
      <c r="K275" s="28">
        <f>J275/$J$16</f>
        <v>0.46712822284421901</v>
      </c>
      <c r="L275" s="28">
        <f>FINV(0.05,H275,$H$16)</f>
        <v>1.9332068318040869</v>
      </c>
      <c r="M275" s="34" t="str">
        <f t="shared" ref="M275" si="128">IF(K275&gt;=L275, "S", "NS")</f>
        <v>NS</v>
      </c>
      <c r="N275" s="25" t="s">
        <v>36</v>
      </c>
      <c r="O275" s="25" t="s">
        <v>37</v>
      </c>
      <c r="P275" s="33">
        <f>SQRT((2*J279)/(3*9))*L280</f>
        <v>7.032062702305393E-2</v>
      </c>
      <c r="S275" s="26"/>
      <c r="T275" s="26"/>
      <c r="U275" s="26"/>
    </row>
    <row r="276" spans="1:21" x14ac:dyDescent="0.25">
      <c r="A276" s="27" t="s">
        <v>38</v>
      </c>
      <c r="B276" s="7">
        <v>0.19999999999999998</v>
      </c>
      <c r="C276" s="7">
        <v>0.18</v>
      </c>
      <c r="D276" s="7">
        <v>0.22999999999999998</v>
      </c>
      <c r="E276" s="33">
        <f t="shared" si="125"/>
        <v>0.61</v>
      </c>
      <c r="F276" s="33">
        <f t="shared" si="126"/>
        <v>0.20333333333333334</v>
      </c>
      <c r="G276" s="28" t="s">
        <v>39</v>
      </c>
      <c r="H276" s="28">
        <f>B268-1</f>
        <v>1</v>
      </c>
      <c r="I276" s="28">
        <f>(SUM(E272:E280)^2+SUM(E281:E289)^2)/27-B292</f>
        <v>7.4816666666666976E-2</v>
      </c>
      <c r="J276" s="28">
        <f t="shared" si="127"/>
        <v>7.4816666666666976E-2</v>
      </c>
      <c r="K276" s="28">
        <f>J276/$J$16</f>
        <v>4.8422295701465039</v>
      </c>
      <c r="L276" s="28">
        <f>FINV(0.05,H276,$H$16)</f>
        <v>4.1300177456520188</v>
      </c>
      <c r="M276" s="28" t="str">
        <f>IF(K276&gt;=L276, "S", "NS")</f>
        <v>S</v>
      </c>
      <c r="N276" s="21"/>
      <c r="O276" s="30">
        <v>1</v>
      </c>
      <c r="P276" s="33">
        <f>(F272+F281)/2</f>
        <v>0.28000000000000003</v>
      </c>
      <c r="Q276" s="31" t="e">
        <f>RANK(P276,P$13:P$21,0)</f>
        <v>#N/A</v>
      </c>
      <c r="R276" s="35">
        <v>9</v>
      </c>
      <c r="S276" s="36">
        <f>P276*1835</f>
        <v>513.80000000000007</v>
      </c>
      <c r="T276" s="36"/>
      <c r="U276" s="36"/>
    </row>
    <row r="277" spans="1:21" x14ac:dyDescent="0.25">
      <c r="A277" s="27" t="s">
        <v>40</v>
      </c>
      <c r="B277" s="7">
        <v>0.25</v>
      </c>
      <c r="C277" s="7">
        <v>0.1</v>
      </c>
      <c r="D277" s="7">
        <v>0.36</v>
      </c>
      <c r="E277" s="33">
        <f t="shared" si="125"/>
        <v>0.71</v>
      </c>
      <c r="F277" s="33">
        <f t="shared" si="126"/>
        <v>0.23666666666666666</v>
      </c>
      <c r="G277" s="28" t="s">
        <v>41</v>
      </c>
      <c r="H277" s="28">
        <f>B269-1</f>
        <v>8</v>
      </c>
      <c r="I277" s="28">
        <f>((E272+E281)^2+(E273+E282)^2+(E274+E283)^2+(E275+E284)^2+(E276+E285)^2+(E277+E286)^2+(E278+E287)^2+(E279+E288)^2+(E280+E289)^2/6)-B292</f>
        <v>15.908898148148145</v>
      </c>
      <c r="J277" s="28">
        <f t="shared" si="127"/>
        <v>1.9886122685185181</v>
      </c>
      <c r="K277" s="28">
        <f>J277/$J$16</f>
        <v>128.70550853432545</v>
      </c>
      <c r="L277" s="28">
        <f>FINV(0.05,H277,$H$16)</f>
        <v>2.2253399674380931</v>
      </c>
      <c r="M277" s="28" t="str">
        <f>IF(K277&gt;=L277, "S", "NS")</f>
        <v>S</v>
      </c>
      <c r="N277" s="21"/>
      <c r="O277" s="30">
        <v>2</v>
      </c>
      <c r="P277" s="33">
        <f t="shared" ref="P277:P284" si="129">(F273+F282)/2</f>
        <v>0.28000000000000003</v>
      </c>
      <c r="Q277" s="31" t="e">
        <f t="shared" ref="Q277:Q284" si="130">RANK(P277,P$13:P$21,0)</f>
        <v>#N/A</v>
      </c>
      <c r="R277" s="37">
        <v>5</v>
      </c>
      <c r="S277" s="36">
        <f t="shared" ref="S277:S284" si="131">P277*1835</f>
        <v>513.80000000000007</v>
      </c>
      <c r="T277" s="26"/>
      <c r="U277" s="26"/>
    </row>
    <row r="278" spans="1:21" x14ac:dyDescent="0.25">
      <c r="A278" s="27" t="s">
        <v>42</v>
      </c>
      <c r="B278" s="7">
        <v>0.19999999999999998</v>
      </c>
      <c r="C278" s="7">
        <v>0.18</v>
      </c>
      <c r="D278" s="7">
        <v>0.22</v>
      </c>
      <c r="E278" s="33">
        <f t="shared" si="125"/>
        <v>0.6</v>
      </c>
      <c r="F278" s="33">
        <f t="shared" si="126"/>
        <v>0.19999999999999998</v>
      </c>
      <c r="G278" s="38" t="s">
        <v>43</v>
      </c>
      <c r="H278" s="28">
        <f>H276*H277</f>
        <v>8</v>
      </c>
      <c r="I278" s="28">
        <f>I275-(I276+I277)</f>
        <v>-15.861016666666663</v>
      </c>
      <c r="J278" s="28">
        <f t="shared" si="127"/>
        <v>-1.9826270833333328</v>
      </c>
      <c r="K278" s="39">
        <f>J278/$J$16</f>
        <v>-128.31813975704978</v>
      </c>
      <c r="L278" s="28">
        <f>FINV(0.05,H278,$H$16)</f>
        <v>2.2253399674380931</v>
      </c>
      <c r="M278" s="28" t="str">
        <f t="shared" ref="M278" si="132">IF(K278&gt;=L278, "S", "NS")</f>
        <v>NS</v>
      </c>
      <c r="N278" s="21"/>
      <c r="O278" s="30">
        <v>3</v>
      </c>
      <c r="P278" s="33">
        <f t="shared" si="129"/>
        <v>0.2533333333333333</v>
      </c>
      <c r="Q278" s="31" t="e">
        <f t="shared" si="130"/>
        <v>#N/A</v>
      </c>
      <c r="R278" s="37">
        <v>2</v>
      </c>
      <c r="S278" s="36">
        <f t="shared" si="131"/>
        <v>464.86666666666662</v>
      </c>
      <c r="T278" s="26"/>
      <c r="U278" s="26"/>
    </row>
    <row r="279" spans="1:21" x14ac:dyDescent="0.25">
      <c r="A279" s="27" t="s">
        <v>44</v>
      </c>
      <c r="B279" s="7">
        <v>0.19999999999999998</v>
      </c>
      <c r="C279" s="7">
        <v>0.25</v>
      </c>
      <c r="D279" s="7">
        <v>0.19999999999999998</v>
      </c>
      <c r="E279" s="33">
        <f t="shared" si="125"/>
        <v>0.64999999999999991</v>
      </c>
      <c r="F279" s="33">
        <f t="shared" si="126"/>
        <v>0.21666666666666665</v>
      </c>
      <c r="G279" s="40" t="s">
        <v>45</v>
      </c>
      <c r="H279" s="28">
        <f>((B270-1)*(B268*B269-1))</f>
        <v>34</v>
      </c>
      <c r="I279" s="28">
        <f>D294</f>
        <v>0.54957407407407288</v>
      </c>
      <c r="J279" s="28">
        <f t="shared" si="127"/>
        <v>1.6163943355119791E-2</v>
      </c>
      <c r="O279" s="30">
        <v>4</v>
      </c>
      <c r="P279" s="33">
        <f t="shared" si="129"/>
        <v>0.21666666666666667</v>
      </c>
      <c r="Q279" s="31" t="e">
        <f t="shared" si="130"/>
        <v>#N/A</v>
      </c>
      <c r="R279" s="37">
        <v>7</v>
      </c>
      <c r="S279" s="36">
        <f t="shared" si="131"/>
        <v>397.58333333333337</v>
      </c>
      <c r="T279" s="26"/>
      <c r="U279" s="26"/>
    </row>
    <row r="280" spans="1:21" x14ac:dyDescent="0.25">
      <c r="A280" s="27" t="s">
        <v>46</v>
      </c>
      <c r="B280" s="7">
        <v>0.15</v>
      </c>
      <c r="C280" s="7">
        <v>0.16</v>
      </c>
      <c r="D280" s="7">
        <v>0.16999999999999998</v>
      </c>
      <c r="E280" s="33">
        <f t="shared" si="125"/>
        <v>0.48</v>
      </c>
      <c r="F280" s="33">
        <f t="shared" si="126"/>
        <v>0.16</v>
      </c>
      <c r="G280" s="39" t="s">
        <v>20</v>
      </c>
      <c r="H280" s="28">
        <f>SUM(H274:H279)-H275</f>
        <v>53</v>
      </c>
      <c r="I280" s="28">
        <f>B293</f>
        <v>0.73049814814814873</v>
      </c>
      <c r="K280" s="28" t="s">
        <v>47</v>
      </c>
      <c r="L280" s="16">
        <f>TINV(0.05,34)</f>
        <v>2.0322445093177191</v>
      </c>
      <c r="O280" s="30">
        <v>5</v>
      </c>
      <c r="P280" s="33">
        <f t="shared" si="129"/>
        <v>0.24333333333333335</v>
      </c>
      <c r="Q280" s="31" t="e">
        <f t="shared" si="130"/>
        <v>#N/A</v>
      </c>
      <c r="R280" s="35">
        <v>3</v>
      </c>
      <c r="S280" s="36">
        <f t="shared" si="131"/>
        <v>446.51666666666671</v>
      </c>
      <c r="T280" s="41"/>
      <c r="U280" s="41"/>
    </row>
    <row r="281" spans="1:21" x14ac:dyDescent="0.25">
      <c r="A281" s="27" t="s">
        <v>48</v>
      </c>
      <c r="B281" s="7">
        <v>0.1</v>
      </c>
      <c r="C281" s="7">
        <v>0.47</v>
      </c>
      <c r="D281" s="7">
        <v>0.36</v>
      </c>
      <c r="E281" s="33">
        <f t="shared" si="125"/>
        <v>0.92999999999999994</v>
      </c>
      <c r="F281" s="33">
        <f t="shared" si="126"/>
        <v>0.31</v>
      </c>
      <c r="G281" s="42" t="s">
        <v>33</v>
      </c>
      <c r="H281" s="28">
        <f>SQRT(J279/3)</f>
        <v>7.3402868597713972E-2</v>
      </c>
      <c r="O281" s="30">
        <v>6</v>
      </c>
      <c r="P281" s="33">
        <f t="shared" si="129"/>
        <v>0.29000000000000004</v>
      </c>
      <c r="Q281" s="31" t="e">
        <f t="shared" si="130"/>
        <v>#N/A</v>
      </c>
      <c r="R281" s="37">
        <v>1</v>
      </c>
      <c r="S281" s="36">
        <f t="shared" si="131"/>
        <v>532.15000000000009</v>
      </c>
      <c r="T281" s="41"/>
      <c r="U281" s="41"/>
    </row>
    <row r="282" spans="1:21" x14ac:dyDescent="0.25">
      <c r="A282" s="27" t="s">
        <v>49</v>
      </c>
      <c r="B282" s="7">
        <v>0.29000000000000004</v>
      </c>
      <c r="C282" s="7">
        <v>0.13</v>
      </c>
      <c r="D282" s="7">
        <v>0.54</v>
      </c>
      <c r="E282" s="33">
        <f t="shared" si="125"/>
        <v>0.96000000000000008</v>
      </c>
      <c r="F282" s="33">
        <f t="shared" si="126"/>
        <v>0.32</v>
      </c>
      <c r="G282" s="42" t="s">
        <v>37</v>
      </c>
      <c r="H282" s="28">
        <f>(SQRT((2*J279)/3))*L280</f>
        <v>0.21096188106916178</v>
      </c>
      <c r="O282" s="30">
        <v>7</v>
      </c>
      <c r="P282" s="33">
        <f t="shared" si="129"/>
        <v>0.245</v>
      </c>
      <c r="Q282" s="31" t="e">
        <f t="shared" si="130"/>
        <v>#N/A</v>
      </c>
      <c r="R282" s="37">
        <v>6</v>
      </c>
      <c r="S282" s="36">
        <f t="shared" si="131"/>
        <v>449.57499999999999</v>
      </c>
      <c r="T282" s="41"/>
      <c r="U282" s="41"/>
    </row>
    <row r="283" spans="1:21" x14ac:dyDescent="0.25">
      <c r="A283" s="27" t="s">
        <v>50</v>
      </c>
      <c r="B283" s="7">
        <v>0.27</v>
      </c>
      <c r="C283" s="7">
        <v>0.15</v>
      </c>
      <c r="D283" s="7">
        <v>0.41</v>
      </c>
      <c r="E283" s="33">
        <f t="shared" si="125"/>
        <v>0.83000000000000007</v>
      </c>
      <c r="F283" s="33">
        <f t="shared" si="126"/>
        <v>0.27666666666666667</v>
      </c>
      <c r="G283" s="42" t="s">
        <v>51</v>
      </c>
      <c r="H283" s="28">
        <f>((SQRT(J279))/F290)*100</f>
        <v>50.892697427407732</v>
      </c>
      <c r="O283" s="30">
        <v>8</v>
      </c>
      <c r="P283" s="33">
        <f t="shared" si="129"/>
        <v>0.24</v>
      </c>
      <c r="Q283" s="31" t="e">
        <f t="shared" si="130"/>
        <v>#N/A</v>
      </c>
      <c r="R283" s="35">
        <v>4</v>
      </c>
      <c r="S283" s="36">
        <f t="shared" si="131"/>
        <v>440.4</v>
      </c>
      <c r="T283" s="41"/>
      <c r="U283" s="41"/>
    </row>
    <row r="284" spans="1:21" x14ac:dyDescent="0.25">
      <c r="A284" s="27" t="s">
        <v>52</v>
      </c>
      <c r="B284" s="7">
        <v>0.53</v>
      </c>
      <c r="C284" s="7">
        <v>0.11</v>
      </c>
      <c r="D284" s="7">
        <v>0.13</v>
      </c>
      <c r="E284" s="33">
        <f t="shared" si="125"/>
        <v>0.77</v>
      </c>
      <c r="F284" s="33">
        <f t="shared" si="126"/>
        <v>0.25666666666666665</v>
      </c>
      <c r="O284" s="30">
        <v>9</v>
      </c>
      <c r="P284" s="33">
        <f t="shared" si="129"/>
        <v>0.2</v>
      </c>
      <c r="Q284" s="31" t="e">
        <f t="shared" si="130"/>
        <v>#N/A</v>
      </c>
      <c r="R284" s="37">
        <v>8</v>
      </c>
      <c r="S284" s="36">
        <f t="shared" si="131"/>
        <v>367</v>
      </c>
      <c r="T284" s="41"/>
      <c r="U284" s="41"/>
    </row>
    <row r="285" spans="1:21" x14ac:dyDescent="0.25">
      <c r="A285" s="27" t="s">
        <v>53</v>
      </c>
      <c r="B285" s="7">
        <v>0.28000000000000003</v>
      </c>
      <c r="C285" s="7">
        <v>0.26</v>
      </c>
      <c r="D285" s="7">
        <v>0.31000000000000005</v>
      </c>
      <c r="E285" s="33">
        <f t="shared" si="125"/>
        <v>0.85000000000000009</v>
      </c>
      <c r="F285" s="33">
        <f t="shared" si="126"/>
        <v>0.28333333333333338</v>
      </c>
      <c r="H285" s="16" t="s">
        <v>54</v>
      </c>
      <c r="O285" s="25" t="s">
        <v>33</v>
      </c>
      <c r="P285" s="33">
        <f>SQRT(J279/(3*2))</f>
        <v>5.1903666143988635E-2</v>
      </c>
      <c r="Q285" s="31"/>
      <c r="S285" s="41"/>
      <c r="T285" s="41"/>
      <c r="U285" s="41"/>
    </row>
    <row r="286" spans="1:21" x14ac:dyDescent="0.25">
      <c r="A286" s="27" t="s">
        <v>55</v>
      </c>
      <c r="B286" s="7">
        <v>0.33000000000000007</v>
      </c>
      <c r="C286" s="7">
        <v>0.14000000000000001</v>
      </c>
      <c r="D286" s="7">
        <v>0.56000000000000005</v>
      </c>
      <c r="E286" s="33">
        <f t="shared" si="125"/>
        <v>1.0300000000000002</v>
      </c>
      <c r="F286" s="33">
        <f t="shared" si="126"/>
        <v>0.34333333333333343</v>
      </c>
      <c r="G286" s="43">
        <v>1</v>
      </c>
      <c r="H286" s="16">
        <f>F272-F281</f>
        <v>-0.06</v>
      </c>
      <c r="I286" s="46">
        <f>B272-0.03</f>
        <v>0.11000000000000001</v>
      </c>
      <c r="J286" s="46">
        <f t="shared" ref="J286:K286" si="133">C272-0.03</f>
        <v>0.48</v>
      </c>
      <c r="K286" s="46">
        <f t="shared" si="133"/>
        <v>7.0000000000000007E-2</v>
      </c>
      <c r="N286" s="25" t="s">
        <v>41</v>
      </c>
      <c r="O286" s="25" t="s">
        <v>37</v>
      </c>
      <c r="P286" s="33">
        <f>SQRT((2*J279)/(3*2))*L280</f>
        <v>0.14917257667587425</v>
      </c>
      <c r="Q286" s="31"/>
      <c r="S286" s="41"/>
      <c r="T286" s="41"/>
      <c r="U286" s="41"/>
    </row>
    <row r="287" spans="1:21" x14ac:dyDescent="0.25">
      <c r="A287" s="27" t="s">
        <v>56</v>
      </c>
      <c r="B287" s="7">
        <v>0.31</v>
      </c>
      <c r="C287" s="7">
        <v>0.16</v>
      </c>
      <c r="D287" s="7">
        <v>0.4</v>
      </c>
      <c r="E287" s="33">
        <f t="shared" si="125"/>
        <v>0.87</v>
      </c>
      <c r="F287" s="33">
        <f>E287/3</f>
        <v>0.28999999999999998</v>
      </c>
      <c r="G287" s="43">
        <v>2</v>
      </c>
      <c r="H287" s="16">
        <f t="shared" ref="H287:H294" si="134">F273-F282</f>
        <v>-8.0000000000000016E-2</v>
      </c>
      <c r="I287" s="46">
        <f t="shared" ref="I287:I294" si="135">B273-0.03</f>
        <v>0.18</v>
      </c>
      <c r="J287" s="46">
        <f t="shared" ref="J287:J294" si="136">C273-0.03</f>
        <v>0.22</v>
      </c>
      <c r="K287" s="46">
        <f t="shared" ref="K287:K294" si="137">D273-0.03</f>
        <v>0.23</v>
      </c>
      <c r="Q287" s="31"/>
      <c r="S287" s="41"/>
      <c r="T287" s="41"/>
      <c r="U287" s="41"/>
    </row>
    <row r="288" spans="1:21" x14ac:dyDescent="0.25">
      <c r="A288" s="27" t="s">
        <v>57</v>
      </c>
      <c r="B288" s="7">
        <v>0.28000000000000003</v>
      </c>
      <c r="C288" s="7">
        <v>0.13</v>
      </c>
      <c r="D288" s="7">
        <v>0.38</v>
      </c>
      <c r="E288" s="33">
        <f t="shared" si="125"/>
        <v>0.79</v>
      </c>
      <c r="F288" s="33">
        <f t="shared" ref="F288:F289" si="138">E288/3</f>
        <v>0.26333333333333336</v>
      </c>
      <c r="G288" s="43">
        <v>3</v>
      </c>
      <c r="H288" s="16">
        <f t="shared" si="134"/>
        <v>-4.666666666666669E-2</v>
      </c>
      <c r="I288" s="46">
        <f t="shared" si="135"/>
        <v>0.16</v>
      </c>
      <c r="J288" s="46">
        <f t="shared" si="136"/>
        <v>0.24000000000000002</v>
      </c>
      <c r="K288" s="46">
        <f t="shared" si="137"/>
        <v>0.19999999999999998</v>
      </c>
      <c r="S288" s="41"/>
      <c r="T288" s="41"/>
      <c r="U288" s="41"/>
    </row>
    <row r="289" spans="1:18" x14ac:dyDescent="0.25">
      <c r="A289" s="27" t="s">
        <v>58</v>
      </c>
      <c r="B289" s="7">
        <v>0.23</v>
      </c>
      <c r="C289" s="7">
        <v>0.24000000000000002</v>
      </c>
      <c r="D289" s="7">
        <v>0.25</v>
      </c>
      <c r="E289" s="33">
        <f t="shared" si="125"/>
        <v>0.72</v>
      </c>
      <c r="F289" s="33">
        <f t="shared" si="138"/>
        <v>0.24</v>
      </c>
      <c r="G289" s="43">
        <v>4</v>
      </c>
      <c r="H289" s="16">
        <f t="shared" si="134"/>
        <v>-7.9999999999999988E-2</v>
      </c>
      <c r="I289" s="46">
        <f t="shared" si="135"/>
        <v>0.22</v>
      </c>
      <c r="J289" s="46">
        <f t="shared" si="136"/>
        <v>0.1</v>
      </c>
      <c r="K289" s="46">
        <f t="shared" si="137"/>
        <v>0.12</v>
      </c>
    </row>
    <row r="290" spans="1:18" x14ac:dyDescent="0.25">
      <c r="A290" s="25" t="s">
        <v>20</v>
      </c>
      <c r="B290" s="28">
        <f>SUM(B272:B289)</f>
        <v>4.41</v>
      </c>
      <c r="C290" s="28">
        <f>SUM(C272:C289)</f>
        <v>3.82</v>
      </c>
      <c r="D290" s="28">
        <f>SUM(D272:D289)</f>
        <v>5.2600000000000007</v>
      </c>
      <c r="E290" s="28">
        <f>SUM(E272:E289)</f>
        <v>13.49</v>
      </c>
      <c r="F290" s="28">
        <f>AVERAGE(B272:D289)</f>
        <v>0.24981481481481488</v>
      </c>
      <c r="G290" s="43">
        <v>5</v>
      </c>
      <c r="H290" s="16">
        <f t="shared" si="134"/>
        <v>-8.0000000000000043E-2</v>
      </c>
      <c r="I290" s="46">
        <f t="shared" si="135"/>
        <v>0.16999999999999998</v>
      </c>
      <c r="J290" s="46">
        <f t="shared" si="136"/>
        <v>0.15</v>
      </c>
      <c r="K290" s="46">
        <f t="shared" si="137"/>
        <v>0.19999999999999998</v>
      </c>
    </row>
    <row r="291" spans="1:18" x14ac:dyDescent="0.25">
      <c r="A291" s="25" t="s">
        <v>11</v>
      </c>
      <c r="B291" s="28">
        <f>B290/18</f>
        <v>0.245</v>
      </c>
      <c r="C291" s="28">
        <f>C290/18</f>
        <v>0.2122222222222222</v>
      </c>
      <c r="D291" s="28">
        <f>D290/18</f>
        <v>0.29222222222222227</v>
      </c>
      <c r="G291" s="43">
        <v>6</v>
      </c>
      <c r="H291" s="16">
        <f t="shared" si="134"/>
        <v>-0.10666666666666677</v>
      </c>
      <c r="I291" s="46">
        <f t="shared" si="135"/>
        <v>0.22</v>
      </c>
      <c r="J291" s="46">
        <f t="shared" si="136"/>
        <v>7.0000000000000007E-2</v>
      </c>
      <c r="K291" s="46">
        <f t="shared" si="137"/>
        <v>0.32999999999999996</v>
      </c>
    </row>
    <row r="292" spans="1:18" x14ac:dyDescent="0.25">
      <c r="A292" s="25" t="s">
        <v>59</v>
      </c>
      <c r="B292" s="28">
        <f>(E290*E290)/54</f>
        <v>3.3700018518518515</v>
      </c>
      <c r="C292" s="28"/>
      <c r="D292" s="28"/>
      <c r="G292" s="43">
        <v>7</v>
      </c>
      <c r="H292" s="16">
        <f t="shared" si="134"/>
        <v>-0.09</v>
      </c>
      <c r="I292" s="46">
        <f t="shared" si="135"/>
        <v>0.16999999999999998</v>
      </c>
      <c r="J292" s="46">
        <f t="shared" si="136"/>
        <v>0.15</v>
      </c>
      <c r="K292" s="46">
        <f t="shared" si="137"/>
        <v>0.19</v>
      </c>
    </row>
    <row r="293" spans="1:18" x14ac:dyDescent="0.25">
      <c r="A293" s="25" t="s">
        <v>60</v>
      </c>
      <c r="B293" s="28">
        <f>SUMSQ(B272:D289)-B292</f>
        <v>0.73049814814814873</v>
      </c>
      <c r="C293" s="25" t="s">
        <v>61</v>
      </c>
      <c r="D293" s="28">
        <f>(SUMSQ(B290:D290)/18)-B292</f>
        <v>5.8225925925926791E-2</v>
      </c>
      <c r="G293" s="43">
        <v>8</v>
      </c>
      <c r="H293" s="16">
        <f t="shared" si="134"/>
        <v>-4.6666666666666717E-2</v>
      </c>
      <c r="I293" s="46">
        <f t="shared" si="135"/>
        <v>0.16999999999999998</v>
      </c>
      <c r="J293" s="46">
        <f t="shared" si="136"/>
        <v>0.22</v>
      </c>
      <c r="K293" s="46">
        <f t="shared" si="137"/>
        <v>0.16999999999999998</v>
      </c>
    </row>
    <row r="294" spans="1:18" x14ac:dyDescent="0.25">
      <c r="A294" s="25" t="s">
        <v>62</v>
      </c>
      <c r="B294" s="28">
        <f>(SUMSQ(E272:E289)/3)-B292</f>
        <v>0.12269814814814906</v>
      </c>
      <c r="C294" s="25" t="s">
        <v>63</v>
      </c>
      <c r="D294" s="28">
        <f>B293-B294-D293</f>
        <v>0.54957407407407288</v>
      </c>
      <c r="G294" s="43">
        <v>9</v>
      </c>
      <c r="H294" s="16">
        <f t="shared" si="134"/>
        <v>-7.9999999999999988E-2</v>
      </c>
      <c r="I294" s="46">
        <f t="shared" si="135"/>
        <v>0.12</v>
      </c>
      <c r="J294" s="46">
        <f t="shared" si="136"/>
        <v>0.13</v>
      </c>
      <c r="K294" s="46">
        <f t="shared" si="137"/>
        <v>0.13999999999999999</v>
      </c>
    </row>
    <row r="295" spans="1:18" x14ac:dyDescent="0.25">
      <c r="H295" s="27" t="s">
        <v>50</v>
      </c>
      <c r="I295" s="46">
        <f>B281+0.05</f>
        <v>0.15000000000000002</v>
      </c>
      <c r="J295" s="46">
        <f t="shared" ref="J295:K295" si="139">C281+0.05</f>
        <v>0.52</v>
      </c>
      <c r="K295" s="46">
        <f t="shared" si="139"/>
        <v>0.41</v>
      </c>
    </row>
    <row r="296" spans="1:18" x14ac:dyDescent="0.25">
      <c r="H296" s="27" t="s">
        <v>52</v>
      </c>
      <c r="I296" s="46">
        <f t="shared" ref="I296:I303" si="140">B282+0.05</f>
        <v>0.34</v>
      </c>
      <c r="J296" s="46">
        <f t="shared" ref="J296:J303" si="141">C282+0.05</f>
        <v>0.18</v>
      </c>
      <c r="K296" s="46">
        <f t="shared" ref="K296:K303" si="142">D282+0.05</f>
        <v>0.59000000000000008</v>
      </c>
    </row>
    <row r="297" spans="1:18" x14ac:dyDescent="0.25">
      <c r="H297" s="27" t="s">
        <v>53</v>
      </c>
      <c r="I297" s="46">
        <f t="shared" si="140"/>
        <v>0.32</v>
      </c>
      <c r="J297" s="46">
        <f t="shared" si="141"/>
        <v>0.2</v>
      </c>
      <c r="K297" s="46">
        <f t="shared" si="142"/>
        <v>0.45999999999999996</v>
      </c>
    </row>
    <row r="298" spans="1:18" ht="18.75" x14ac:dyDescent="0.3">
      <c r="C298" s="53">
        <v>2019</v>
      </c>
      <c r="H298" s="27" t="s">
        <v>55</v>
      </c>
      <c r="I298" s="46">
        <f t="shared" si="140"/>
        <v>0.58000000000000007</v>
      </c>
      <c r="J298" s="46">
        <f t="shared" si="141"/>
        <v>0.16</v>
      </c>
      <c r="K298" s="46">
        <f t="shared" si="142"/>
        <v>0.18</v>
      </c>
    </row>
    <row r="299" spans="1:18" ht="15.75" x14ac:dyDescent="0.25">
      <c r="C299" s="18" t="s">
        <v>83</v>
      </c>
      <c r="H299" s="27" t="s">
        <v>56</v>
      </c>
      <c r="I299" s="46">
        <f t="shared" si="140"/>
        <v>0.33</v>
      </c>
      <c r="J299" s="46">
        <f t="shared" si="141"/>
        <v>0.31</v>
      </c>
      <c r="K299" s="46">
        <f t="shared" si="142"/>
        <v>0.36000000000000004</v>
      </c>
    </row>
    <row r="300" spans="1:18" x14ac:dyDescent="0.25">
      <c r="A300" s="19" t="s">
        <v>13</v>
      </c>
      <c r="B300" s="20">
        <v>2</v>
      </c>
      <c r="C300" s="21"/>
      <c r="D300" s="21"/>
      <c r="E300" s="21"/>
      <c r="F300" s="21"/>
      <c r="G300" s="21"/>
      <c r="H300" s="27" t="s">
        <v>57</v>
      </c>
      <c r="I300" s="46">
        <f t="shared" si="140"/>
        <v>0.38000000000000006</v>
      </c>
      <c r="J300" s="46">
        <f t="shared" si="141"/>
        <v>0.19</v>
      </c>
      <c r="K300" s="46">
        <f t="shared" si="142"/>
        <v>0.6100000000000001</v>
      </c>
      <c r="L300" s="21"/>
      <c r="M300" s="22"/>
      <c r="N300" s="22"/>
      <c r="O300" s="21"/>
      <c r="P300" s="21"/>
    </row>
    <row r="301" spans="1:18" x14ac:dyDescent="0.25">
      <c r="A301" s="19" t="s">
        <v>14</v>
      </c>
      <c r="B301" s="20">
        <v>9</v>
      </c>
      <c r="C301" s="21" t="s">
        <v>15</v>
      </c>
      <c r="D301" s="21">
        <v>18</v>
      </c>
      <c r="E301" s="21"/>
      <c r="F301" s="21"/>
      <c r="G301" s="21"/>
      <c r="H301" s="27" t="s">
        <v>58</v>
      </c>
      <c r="I301" s="46">
        <f t="shared" si="140"/>
        <v>0.36</v>
      </c>
      <c r="J301" s="46">
        <f t="shared" si="141"/>
        <v>0.21000000000000002</v>
      </c>
      <c r="K301" s="46">
        <f t="shared" si="142"/>
        <v>0.45</v>
      </c>
      <c r="L301" s="21"/>
      <c r="M301" s="22"/>
      <c r="N301" s="22"/>
      <c r="O301" s="21"/>
      <c r="P301" s="21"/>
    </row>
    <row r="302" spans="1:18" x14ac:dyDescent="0.25">
      <c r="A302" s="15" t="s">
        <v>16</v>
      </c>
      <c r="B302" s="23">
        <v>3</v>
      </c>
      <c r="I302" s="46">
        <f t="shared" si="140"/>
        <v>0.33</v>
      </c>
      <c r="J302" s="46">
        <f t="shared" si="141"/>
        <v>0.18</v>
      </c>
      <c r="K302" s="46">
        <f t="shared" si="142"/>
        <v>0.43</v>
      </c>
    </row>
    <row r="303" spans="1:18" x14ac:dyDescent="0.25">
      <c r="A303" s="24" t="s">
        <v>0</v>
      </c>
      <c r="B303" s="25" t="s">
        <v>17</v>
      </c>
      <c r="C303" s="25" t="s">
        <v>18</v>
      </c>
      <c r="D303" s="25" t="s">
        <v>19</v>
      </c>
      <c r="E303" s="25" t="s">
        <v>20</v>
      </c>
      <c r="F303" s="25" t="s">
        <v>11</v>
      </c>
      <c r="I303" s="46">
        <f t="shared" si="140"/>
        <v>0.28000000000000003</v>
      </c>
      <c r="J303" s="46">
        <f t="shared" si="141"/>
        <v>0.29000000000000004</v>
      </c>
      <c r="K303" s="46">
        <f t="shared" si="142"/>
        <v>0.3</v>
      </c>
      <c r="O303" s="16" t="s">
        <v>21</v>
      </c>
      <c r="R303" s="16"/>
    </row>
    <row r="304" spans="1:18" x14ac:dyDescent="0.25">
      <c r="A304" s="27" t="s">
        <v>22</v>
      </c>
      <c r="B304" s="45">
        <v>0.11000000000000001</v>
      </c>
      <c r="C304" s="45">
        <v>0.48</v>
      </c>
      <c r="D304" s="45">
        <v>7.0000000000000007E-2</v>
      </c>
      <c r="E304" s="28">
        <f>SUM(B304:D304)</f>
        <v>0.65999999999999992</v>
      </c>
      <c r="F304" s="28">
        <f>E304/3</f>
        <v>0.21999999999999997</v>
      </c>
      <c r="H304" s="29"/>
      <c r="I304" s="29"/>
      <c r="J304" s="29" t="s">
        <v>23</v>
      </c>
      <c r="K304" s="29"/>
      <c r="L304" s="29"/>
      <c r="M304" s="29"/>
      <c r="N304" s="29"/>
      <c r="O304" s="30">
        <v>1</v>
      </c>
      <c r="P304" s="33">
        <f>SUM(F304:F312)/9</f>
        <v>0.18296296296296294</v>
      </c>
      <c r="Q304" s="31" t="e">
        <f>RANK(P304,P$105:P$106,0)</f>
        <v>#N/A</v>
      </c>
      <c r="R304" s="16"/>
    </row>
    <row r="305" spans="1:18" x14ac:dyDescent="0.25">
      <c r="A305" s="27" t="s">
        <v>24</v>
      </c>
      <c r="B305" s="45">
        <v>0.18</v>
      </c>
      <c r="C305" s="45">
        <v>0.22</v>
      </c>
      <c r="D305" s="45">
        <v>0.23</v>
      </c>
      <c r="E305" s="28">
        <f t="shared" ref="E305:E321" si="143">SUM(B305:D305)</f>
        <v>0.63</v>
      </c>
      <c r="F305" s="28">
        <f t="shared" ref="F305:F318" si="144">E305/3</f>
        <v>0.21</v>
      </c>
      <c r="G305" s="28"/>
      <c r="H305" s="25" t="s">
        <v>25</v>
      </c>
      <c r="I305" s="25" t="s">
        <v>26</v>
      </c>
      <c r="J305" s="25" t="s">
        <v>27</v>
      </c>
      <c r="K305" s="25" t="s">
        <v>28</v>
      </c>
      <c r="L305" s="25" t="s">
        <v>29</v>
      </c>
      <c r="M305" s="25" t="s">
        <v>30</v>
      </c>
      <c r="N305" s="32"/>
      <c r="O305" s="30">
        <v>2</v>
      </c>
      <c r="P305" s="33">
        <f>SUM(F313:F321)/9</f>
        <v>0.33740740740740743</v>
      </c>
      <c r="Q305" s="31" t="e">
        <f>RANK(P305,P$105:P$106,0)</f>
        <v>#N/A</v>
      </c>
      <c r="R305" s="16"/>
    </row>
    <row r="306" spans="1:18" x14ac:dyDescent="0.25">
      <c r="A306" s="27" t="s">
        <v>31</v>
      </c>
      <c r="B306" s="45">
        <v>0.16</v>
      </c>
      <c r="C306" s="45">
        <v>0.24000000000000002</v>
      </c>
      <c r="D306" s="45">
        <v>0.19999999999999998</v>
      </c>
      <c r="E306" s="28">
        <f t="shared" si="143"/>
        <v>0.6</v>
      </c>
      <c r="F306" s="28">
        <f t="shared" si="144"/>
        <v>0.19999999999999998</v>
      </c>
      <c r="G306" s="28" t="s">
        <v>32</v>
      </c>
      <c r="H306" s="28">
        <f>B302-1</f>
        <v>2</v>
      </c>
      <c r="I306" s="28">
        <f>D325</f>
        <v>0.15667037037037002</v>
      </c>
      <c r="J306" s="28">
        <f>I306/H306</f>
        <v>7.8335185185185008E-2</v>
      </c>
      <c r="K306" s="28">
        <f>J306/$J$16</f>
        <v>5.069952551836983</v>
      </c>
      <c r="L306" s="28">
        <f>FINV(0.05,H306,$H$16)</f>
        <v>3.275897990672394</v>
      </c>
      <c r="M306" s="28" t="str">
        <f>IF(K306&gt;=L306, "S", "NS")</f>
        <v>S</v>
      </c>
      <c r="N306" s="21"/>
      <c r="O306" s="25" t="s">
        <v>33</v>
      </c>
      <c r="P306" s="33">
        <f>SQRT(J311/(3*9))</f>
        <v>2.9628472199615757E-2</v>
      </c>
      <c r="R306" s="16"/>
    </row>
    <row r="307" spans="1:18" x14ac:dyDescent="0.25">
      <c r="A307" s="27" t="s">
        <v>34</v>
      </c>
      <c r="B307" s="45">
        <v>0.22</v>
      </c>
      <c r="C307" s="45">
        <v>0.1</v>
      </c>
      <c r="D307" s="45">
        <v>0.12</v>
      </c>
      <c r="E307" s="28">
        <f t="shared" si="143"/>
        <v>0.44</v>
      </c>
      <c r="F307" s="28">
        <f t="shared" si="144"/>
        <v>0.14666666666666667</v>
      </c>
      <c r="G307" s="28" t="s">
        <v>35</v>
      </c>
      <c r="H307" s="28">
        <f>D301-1</f>
        <v>17</v>
      </c>
      <c r="I307" s="28">
        <f>B326</f>
        <v>0.3699648148148138</v>
      </c>
      <c r="J307" s="28">
        <f t="shared" ref="J307:J311" si="145">I307/H307</f>
        <v>2.1762636165577283E-2</v>
      </c>
      <c r="K307" s="28">
        <f>J307/$J$16</f>
        <v>1.4085054181149157</v>
      </c>
      <c r="L307" s="28">
        <f>FINV(0.05,H307,$H$16)</f>
        <v>1.9332068318040869</v>
      </c>
      <c r="M307" s="34" t="str">
        <f t="shared" ref="M307" si="146">IF(K307&gt;=L307, "S", "NS")</f>
        <v>NS</v>
      </c>
      <c r="N307" s="25" t="s">
        <v>36</v>
      </c>
      <c r="O307" s="25" t="s">
        <v>37</v>
      </c>
      <c r="P307" s="33">
        <f>SQRT((2*J311)/(3*9))*L312</f>
        <v>8.5153051206924735E-2</v>
      </c>
      <c r="R307" s="16"/>
    </row>
    <row r="308" spans="1:18" x14ac:dyDescent="0.25">
      <c r="A308" s="27" t="s">
        <v>38</v>
      </c>
      <c r="B308" s="45">
        <v>0.16999999999999998</v>
      </c>
      <c r="C308" s="45">
        <v>0.15</v>
      </c>
      <c r="D308" s="45">
        <v>0.19999999999999998</v>
      </c>
      <c r="E308" s="28">
        <f t="shared" si="143"/>
        <v>0.51999999999999991</v>
      </c>
      <c r="F308" s="28">
        <f t="shared" si="144"/>
        <v>0.17333333333333331</v>
      </c>
      <c r="G308" s="28" t="s">
        <v>39</v>
      </c>
      <c r="H308" s="28">
        <f>B300-1</f>
        <v>1</v>
      </c>
      <c r="I308" s="28">
        <f>(SUM(E304:E312)^2+SUM(E313:E321)^2)/27-B324</f>
        <v>0.3220166666666664</v>
      </c>
      <c r="J308" s="28">
        <f t="shared" si="145"/>
        <v>0.3220166666666664</v>
      </c>
      <c r="K308" s="28">
        <f>J308/$J$16</f>
        <v>20.841327138516405</v>
      </c>
      <c r="L308" s="28">
        <f>FINV(0.05,H308,$H$16)</f>
        <v>4.1300177456520188</v>
      </c>
      <c r="M308" s="28" t="str">
        <f>IF(K308&gt;=L308, "S", "NS")</f>
        <v>S</v>
      </c>
      <c r="N308" s="21"/>
      <c r="O308" s="30">
        <v>1</v>
      </c>
      <c r="P308" s="33">
        <f>(F304+F313)/2</f>
        <v>0.29000000000000004</v>
      </c>
      <c r="Q308" s="31" t="e">
        <f>RANK(P308,P$109:P$117,0)</f>
        <v>#N/A</v>
      </c>
      <c r="R308" s="35">
        <v>9</v>
      </c>
    </row>
    <row r="309" spans="1:18" x14ac:dyDescent="0.25">
      <c r="A309" s="27" t="s">
        <v>40</v>
      </c>
      <c r="B309" s="45">
        <v>0.22</v>
      </c>
      <c r="C309" s="45">
        <v>7.0000000000000007E-2</v>
      </c>
      <c r="D309" s="45">
        <v>0.32999999999999996</v>
      </c>
      <c r="E309" s="28">
        <f t="shared" si="143"/>
        <v>0.62</v>
      </c>
      <c r="F309" s="28">
        <f t="shared" si="144"/>
        <v>0.20666666666666667</v>
      </c>
      <c r="G309" s="28" t="s">
        <v>41</v>
      </c>
      <c r="H309" s="28">
        <f>B301-1</f>
        <v>8</v>
      </c>
      <c r="I309" s="28">
        <f>((E304+E313)^2+(E305+E314)^2+(E306+E315)^2+(E307+E316)^2+(E308+E317)^2+(E309+E318)^2+(E310+E319)^2+(E311+E320)^2+(E312+E321)^2/6)-B324</f>
        <v>17.212098148148154</v>
      </c>
      <c r="J309" s="28">
        <f t="shared" si="145"/>
        <v>2.1515122685185193</v>
      </c>
      <c r="K309" s="28">
        <f>J309/$J$16</f>
        <v>139.2486031697926</v>
      </c>
      <c r="L309" s="28">
        <f>FINV(0.05,H309,$H$16)</f>
        <v>2.2253399674380931</v>
      </c>
      <c r="M309" s="28" t="str">
        <f>IF(K309&gt;=L309, "S", "NS")</f>
        <v>S</v>
      </c>
      <c r="N309" s="21"/>
      <c r="O309" s="30">
        <v>2</v>
      </c>
      <c r="P309" s="33">
        <f t="shared" ref="P309:P316" si="147">(F305+F314)/2</f>
        <v>0.29000000000000004</v>
      </c>
      <c r="Q309" s="31" t="e">
        <f t="shared" ref="Q309:Q316" si="148">RANK(P309,P$109:P$117,0)</f>
        <v>#N/A</v>
      </c>
      <c r="R309" s="37">
        <v>5</v>
      </c>
    </row>
    <row r="310" spans="1:18" x14ac:dyDescent="0.25">
      <c r="A310" s="27" t="s">
        <v>42</v>
      </c>
      <c r="B310" s="45">
        <v>0.16999999999999998</v>
      </c>
      <c r="C310" s="45">
        <v>0.15</v>
      </c>
      <c r="D310" s="45">
        <v>0.19</v>
      </c>
      <c r="E310" s="28">
        <f t="shared" si="143"/>
        <v>0.51</v>
      </c>
      <c r="F310" s="28">
        <f t="shared" si="144"/>
        <v>0.17</v>
      </c>
      <c r="G310" s="38" t="s">
        <v>43</v>
      </c>
      <c r="H310" s="28">
        <f>H308*H309</f>
        <v>8</v>
      </c>
      <c r="I310" s="28">
        <f>I307-(I308+I309)</f>
        <v>-17.164150000000006</v>
      </c>
      <c r="J310" s="28">
        <f t="shared" si="145"/>
        <v>-2.1455187500000008</v>
      </c>
      <c r="K310" s="39">
        <f>J310/$J$16</f>
        <v>-138.86069504861294</v>
      </c>
      <c r="L310" s="28">
        <f>FINV(0.05,H310,$H$16)</f>
        <v>2.2253399674380931</v>
      </c>
      <c r="M310" s="28" t="str">
        <f t="shared" ref="M310" si="149">IF(K310&gt;=L310, "S", "NS")</f>
        <v>NS</v>
      </c>
      <c r="N310" s="21"/>
      <c r="O310" s="30">
        <v>3</v>
      </c>
      <c r="P310" s="33">
        <f t="shared" si="147"/>
        <v>0.26333333333333336</v>
      </c>
      <c r="Q310" s="31" t="e">
        <f t="shared" si="148"/>
        <v>#N/A</v>
      </c>
      <c r="R310" s="37">
        <v>2</v>
      </c>
    </row>
    <row r="311" spans="1:18" x14ac:dyDescent="0.25">
      <c r="A311" s="27" t="s">
        <v>44</v>
      </c>
      <c r="B311" s="45">
        <v>0.11</v>
      </c>
      <c r="C311" s="45">
        <v>0.28999999999999998</v>
      </c>
      <c r="D311" s="45">
        <v>0.16999999999999998</v>
      </c>
      <c r="E311" s="28">
        <f t="shared" si="143"/>
        <v>0.56999999999999995</v>
      </c>
      <c r="F311" s="28">
        <f t="shared" si="144"/>
        <v>0.18999999999999997</v>
      </c>
      <c r="G311" s="40" t="s">
        <v>45</v>
      </c>
      <c r="H311" s="28">
        <f>((B302-1)*(B300*B301-1))</f>
        <v>34</v>
      </c>
      <c r="I311" s="28">
        <f>D326</f>
        <v>0.80586296296296478</v>
      </c>
      <c r="J311" s="28">
        <f t="shared" si="145"/>
        <v>2.3701851851851904E-2</v>
      </c>
      <c r="O311" s="30">
        <v>4</v>
      </c>
      <c r="P311" s="33">
        <f t="shared" si="147"/>
        <v>0.22666666666666668</v>
      </c>
      <c r="Q311" s="31" t="e">
        <f t="shared" si="148"/>
        <v>#N/A</v>
      </c>
      <c r="R311" s="37">
        <v>7</v>
      </c>
    </row>
    <row r="312" spans="1:18" x14ac:dyDescent="0.25">
      <c r="A312" s="27" t="s">
        <v>46</v>
      </c>
      <c r="B312" s="45">
        <v>0.12</v>
      </c>
      <c r="C312" s="45">
        <v>0.13</v>
      </c>
      <c r="D312" s="45">
        <v>0.13999999999999999</v>
      </c>
      <c r="E312" s="28">
        <f t="shared" si="143"/>
        <v>0.39</v>
      </c>
      <c r="F312" s="28">
        <f t="shared" si="144"/>
        <v>0.13</v>
      </c>
      <c r="G312" s="39" t="s">
        <v>20</v>
      </c>
      <c r="H312" s="28">
        <f>SUM(H306:H311)-H307</f>
        <v>53</v>
      </c>
      <c r="I312" s="28">
        <f>B325</f>
        <v>1.3324981481481486</v>
      </c>
      <c r="K312" s="28" t="s">
        <v>47</v>
      </c>
      <c r="L312" s="16">
        <f>TINV(0.05,34)</f>
        <v>2.0322445093177191</v>
      </c>
      <c r="O312" s="30">
        <v>5</v>
      </c>
      <c r="P312" s="33">
        <f t="shared" si="147"/>
        <v>0.255</v>
      </c>
      <c r="Q312" s="31" t="e">
        <f t="shared" si="148"/>
        <v>#N/A</v>
      </c>
      <c r="R312" s="35">
        <v>3</v>
      </c>
    </row>
    <row r="313" spans="1:18" x14ac:dyDescent="0.25">
      <c r="A313" s="27" t="s">
        <v>48</v>
      </c>
      <c r="B313" s="45">
        <v>0.15000000000000002</v>
      </c>
      <c r="C313" s="45">
        <v>0.52</v>
      </c>
      <c r="D313" s="45">
        <v>0.41</v>
      </c>
      <c r="E313" s="28">
        <f t="shared" si="143"/>
        <v>1.08</v>
      </c>
      <c r="F313" s="28">
        <f t="shared" si="144"/>
        <v>0.36000000000000004</v>
      </c>
      <c r="G313" s="42" t="s">
        <v>33</v>
      </c>
      <c r="H313" s="28">
        <f>SQRT(J311/3)</f>
        <v>8.8885416598847272E-2</v>
      </c>
      <c r="O313" s="30">
        <v>6</v>
      </c>
      <c r="P313" s="33">
        <f t="shared" si="147"/>
        <v>0.30000000000000004</v>
      </c>
      <c r="Q313" s="31" t="e">
        <f t="shared" si="148"/>
        <v>#N/A</v>
      </c>
      <c r="R313" s="37">
        <v>1</v>
      </c>
    </row>
    <row r="314" spans="1:18" x14ac:dyDescent="0.25">
      <c r="A314" s="27" t="s">
        <v>49</v>
      </c>
      <c r="B314" s="45">
        <v>0.34</v>
      </c>
      <c r="C314" s="45">
        <v>0.18</v>
      </c>
      <c r="D314" s="45">
        <v>0.59000000000000008</v>
      </c>
      <c r="E314" s="28">
        <f t="shared" si="143"/>
        <v>1.1100000000000001</v>
      </c>
      <c r="F314" s="28">
        <f t="shared" si="144"/>
        <v>0.37000000000000005</v>
      </c>
      <c r="G314" s="42" t="s">
        <v>37</v>
      </c>
      <c r="H314" s="28">
        <f>(SQRT((2*J311)/3))*L312</f>
        <v>0.2554591536207742</v>
      </c>
      <c r="O314" s="30">
        <v>7</v>
      </c>
      <c r="P314" s="33">
        <f t="shared" si="147"/>
        <v>0.255</v>
      </c>
      <c r="Q314" s="31" t="e">
        <f t="shared" si="148"/>
        <v>#N/A</v>
      </c>
      <c r="R314" s="37">
        <v>6</v>
      </c>
    </row>
    <row r="315" spans="1:18" x14ac:dyDescent="0.25">
      <c r="A315" s="27" t="s">
        <v>50</v>
      </c>
      <c r="B315" s="45">
        <v>0.32</v>
      </c>
      <c r="C315" s="45">
        <v>0.1</v>
      </c>
      <c r="D315" s="45">
        <v>0.56000000000000005</v>
      </c>
      <c r="E315" s="28">
        <f t="shared" si="143"/>
        <v>0.98000000000000009</v>
      </c>
      <c r="F315" s="28">
        <f t="shared" si="144"/>
        <v>0.32666666666666672</v>
      </c>
      <c r="G315" s="42" t="s">
        <v>51</v>
      </c>
      <c r="H315" s="28">
        <f>((SQRT(J311))/F322)*100</f>
        <v>59.170954522854061</v>
      </c>
      <c r="O315" s="30">
        <v>8</v>
      </c>
      <c r="P315" s="33">
        <f t="shared" si="147"/>
        <v>0.25166666666666665</v>
      </c>
      <c r="Q315" s="31" t="e">
        <f t="shared" si="148"/>
        <v>#N/A</v>
      </c>
      <c r="R315" s="35">
        <v>4</v>
      </c>
    </row>
    <row r="316" spans="1:18" x14ac:dyDescent="0.25">
      <c r="A316" s="27" t="s">
        <v>52</v>
      </c>
      <c r="B316" s="45">
        <v>0.58000000000000007</v>
      </c>
      <c r="C316" s="45">
        <v>0.16</v>
      </c>
      <c r="D316" s="45">
        <v>0.18</v>
      </c>
      <c r="E316" s="28">
        <f t="shared" si="143"/>
        <v>0.92000000000000015</v>
      </c>
      <c r="F316" s="28">
        <f t="shared" si="144"/>
        <v>0.3066666666666667</v>
      </c>
      <c r="H316" s="27" t="s">
        <v>22</v>
      </c>
      <c r="I316" s="46">
        <f>B304-0.06</f>
        <v>5.0000000000000017E-2</v>
      </c>
      <c r="J316" s="46">
        <f t="shared" ref="J316:J324" si="150">C304-0.06</f>
        <v>0.42</v>
      </c>
      <c r="K316" s="46">
        <f t="shared" ref="K316:K324" si="151">D304-0.06</f>
        <v>1.0000000000000009E-2</v>
      </c>
      <c r="O316" s="30">
        <v>9</v>
      </c>
      <c r="P316" s="33">
        <f t="shared" si="147"/>
        <v>0.21000000000000002</v>
      </c>
      <c r="Q316" s="31" t="e">
        <f t="shared" si="148"/>
        <v>#N/A</v>
      </c>
      <c r="R316" s="37">
        <v>8</v>
      </c>
    </row>
    <row r="317" spans="1:18" x14ac:dyDescent="0.25">
      <c r="A317" s="27" t="s">
        <v>53</v>
      </c>
      <c r="B317" s="45">
        <v>0.33</v>
      </c>
      <c r="C317" s="45">
        <v>0.12</v>
      </c>
      <c r="D317" s="45">
        <v>0.56000000000000005</v>
      </c>
      <c r="E317" s="28">
        <f t="shared" si="143"/>
        <v>1.01</v>
      </c>
      <c r="F317" s="28">
        <f t="shared" si="144"/>
        <v>0.33666666666666667</v>
      </c>
      <c r="H317" s="27" t="s">
        <v>24</v>
      </c>
      <c r="I317" s="46">
        <f t="shared" ref="I317:I324" si="152">B305-0.06</f>
        <v>0.12</v>
      </c>
      <c r="J317" s="46">
        <f t="shared" si="150"/>
        <v>0.16</v>
      </c>
      <c r="K317" s="46">
        <f t="shared" si="151"/>
        <v>0.17</v>
      </c>
      <c r="O317" s="25" t="s">
        <v>33</v>
      </c>
      <c r="P317" s="33">
        <f>SQRT(J311/(3*2))</f>
        <v>6.2851480825636213E-2</v>
      </c>
      <c r="Q317" s="31"/>
    </row>
    <row r="318" spans="1:18" x14ac:dyDescent="0.25">
      <c r="A318" s="27" t="s">
        <v>55</v>
      </c>
      <c r="B318" s="45">
        <v>0.38000000000000006</v>
      </c>
      <c r="C318" s="45">
        <v>0.09</v>
      </c>
      <c r="D318" s="45">
        <v>0.71</v>
      </c>
      <c r="E318" s="28">
        <f t="shared" si="143"/>
        <v>1.1800000000000002</v>
      </c>
      <c r="F318" s="28">
        <f t="shared" si="144"/>
        <v>0.39333333333333337</v>
      </c>
      <c r="H318" s="27" t="s">
        <v>31</v>
      </c>
      <c r="I318" s="46">
        <f t="shared" si="152"/>
        <v>0.1</v>
      </c>
      <c r="J318" s="46">
        <f t="shared" si="150"/>
        <v>0.18000000000000002</v>
      </c>
      <c r="K318" s="46">
        <f t="shared" si="151"/>
        <v>0.13999999999999999</v>
      </c>
      <c r="N318" s="25" t="s">
        <v>41</v>
      </c>
      <c r="O318" s="25" t="s">
        <v>37</v>
      </c>
      <c r="P318" s="33">
        <f>SQRT((2*J311)/(3*2))*L312</f>
        <v>0.18063689984142542</v>
      </c>
      <c r="Q318" s="31"/>
    </row>
    <row r="319" spans="1:18" x14ac:dyDescent="0.25">
      <c r="A319" s="27" t="s">
        <v>56</v>
      </c>
      <c r="B319" s="45">
        <v>0.36</v>
      </c>
      <c r="C319" s="45">
        <v>0.11</v>
      </c>
      <c r="D319" s="45">
        <v>0.55000000000000004</v>
      </c>
      <c r="E319" s="28">
        <f t="shared" si="143"/>
        <v>1.02</v>
      </c>
      <c r="F319" s="28">
        <f>E319/3</f>
        <v>0.34</v>
      </c>
      <c r="H319" s="27" t="s">
        <v>34</v>
      </c>
      <c r="I319" s="46">
        <f t="shared" si="152"/>
        <v>0.16</v>
      </c>
      <c r="J319" s="46">
        <f t="shared" si="150"/>
        <v>4.0000000000000008E-2</v>
      </c>
      <c r="K319" s="46">
        <f t="shared" si="151"/>
        <v>0.06</v>
      </c>
      <c r="Q319" s="31"/>
    </row>
    <row r="320" spans="1:18" x14ac:dyDescent="0.25">
      <c r="A320" s="27" t="s">
        <v>57</v>
      </c>
      <c r="B320" s="45">
        <v>0.33</v>
      </c>
      <c r="C320" s="45">
        <v>0.18</v>
      </c>
      <c r="D320" s="45">
        <v>0.43</v>
      </c>
      <c r="E320" s="28">
        <f t="shared" si="143"/>
        <v>0.94</v>
      </c>
      <c r="F320" s="28">
        <f t="shared" ref="F320:F321" si="153">E320/3</f>
        <v>0.3133333333333333</v>
      </c>
      <c r="H320" s="27" t="s">
        <v>38</v>
      </c>
      <c r="I320" s="46">
        <f t="shared" si="152"/>
        <v>0.10999999999999999</v>
      </c>
      <c r="J320" s="46">
        <f t="shared" si="150"/>
        <v>0.09</v>
      </c>
      <c r="K320" s="46">
        <f t="shared" si="151"/>
        <v>0.13999999999999999</v>
      </c>
    </row>
    <row r="321" spans="1:11" x14ac:dyDescent="0.25">
      <c r="A321" s="27" t="s">
        <v>58</v>
      </c>
      <c r="B321" s="45">
        <v>0.28000000000000003</v>
      </c>
      <c r="C321" s="45">
        <v>0.29000000000000004</v>
      </c>
      <c r="D321" s="45">
        <v>0.3</v>
      </c>
      <c r="E321" s="28">
        <f t="shared" si="143"/>
        <v>0.87000000000000011</v>
      </c>
      <c r="F321" s="28">
        <f t="shared" si="153"/>
        <v>0.29000000000000004</v>
      </c>
      <c r="H321" s="27" t="s">
        <v>40</v>
      </c>
      <c r="I321" s="46">
        <f t="shared" si="152"/>
        <v>0.16</v>
      </c>
      <c r="J321" s="46">
        <f t="shared" si="150"/>
        <v>1.0000000000000009E-2</v>
      </c>
      <c r="K321" s="46">
        <f t="shared" si="151"/>
        <v>0.26999999999999996</v>
      </c>
    </row>
    <row r="322" spans="1:11" x14ac:dyDescent="0.25">
      <c r="A322" s="25" t="s">
        <v>20</v>
      </c>
      <c r="B322" s="28">
        <f>SUM(B304:B321)</f>
        <v>4.53</v>
      </c>
      <c r="C322" s="28">
        <f t="shared" ref="C322:D322" si="154">SUM(C304:C321)</f>
        <v>3.5800000000000005</v>
      </c>
      <c r="D322" s="28">
        <f t="shared" si="154"/>
        <v>5.9399999999999995</v>
      </c>
      <c r="E322" s="28">
        <f>SUM(E304:E321)</f>
        <v>14.05</v>
      </c>
      <c r="F322" s="28">
        <f>AVERAGE(B304:D321)</f>
        <v>0.26018518518518513</v>
      </c>
      <c r="H322" s="27" t="s">
        <v>42</v>
      </c>
      <c r="I322" s="46">
        <f t="shared" si="152"/>
        <v>0.10999999999999999</v>
      </c>
      <c r="J322" s="46">
        <f t="shared" si="150"/>
        <v>0.09</v>
      </c>
      <c r="K322" s="46">
        <f t="shared" si="151"/>
        <v>0.13</v>
      </c>
    </row>
    <row r="323" spans="1:11" x14ac:dyDescent="0.25">
      <c r="A323" s="25" t="s">
        <v>11</v>
      </c>
      <c r="B323" s="28">
        <f>B322/18</f>
        <v>0.25166666666666671</v>
      </c>
      <c r="C323" s="28">
        <f>C322/18</f>
        <v>0.19888888888888892</v>
      </c>
      <c r="D323" s="28">
        <f>D322/18</f>
        <v>0.32999999999999996</v>
      </c>
      <c r="H323" s="27" t="s">
        <v>44</v>
      </c>
      <c r="I323" s="46">
        <f t="shared" si="152"/>
        <v>0.05</v>
      </c>
      <c r="J323" s="46">
        <f t="shared" si="150"/>
        <v>0.22999999999999998</v>
      </c>
      <c r="K323" s="46">
        <f t="shared" si="151"/>
        <v>0.10999999999999999</v>
      </c>
    </row>
    <row r="324" spans="1:11" x14ac:dyDescent="0.25">
      <c r="A324" s="25" t="s">
        <v>59</v>
      </c>
      <c r="B324" s="28">
        <f>(E322*E322)/54</f>
        <v>3.6556018518518525</v>
      </c>
      <c r="C324" s="28"/>
      <c r="D324" s="28"/>
      <c r="H324" s="27" t="s">
        <v>46</v>
      </c>
      <c r="I324" s="46">
        <f t="shared" si="152"/>
        <v>0.06</v>
      </c>
      <c r="J324" s="46">
        <f t="shared" si="150"/>
        <v>7.0000000000000007E-2</v>
      </c>
      <c r="K324" s="46">
        <f t="shared" si="151"/>
        <v>7.9999999999999988E-2</v>
      </c>
    </row>
    <row r="325" spans="1:11" x14ac:dyDescent="0.25">
      <c r="A325" s="25" t="s">
        <v>60</v>
      </c>
      <c r="B325" s="28">
        <f>SUMSQ(B304:D321)-B324</f>
        <v>1.3324981481481486</v>
      </c>
      <c r="C325" s="25" t="s">
        <v>61</v>
      </c>
      <c r="D325" s="28">
        <f>(SUMSQ(B322:D322)/18)-B324</f>
        <v>0.15667037037037002</v>
      </c>
      <c r="H325" s="27" t="s">
        <v>48</v>
      </c>
      <c r="I325" s="46">
        <f>B313+0.01</f>
        <v>0.16000000000000003</v>
      </c>
      <c r="J325" s="46">
        <f t="shared" ref="J325:J326" si="155">C313+0.01</f>
        <v>0.53</v>
      </c>
      <c r="K325" s="46">
        <f t="shared" ref="K325:K326" si="156">D313+0.01</f>
        <v>0.42</v>
      </c>
    </row>
    <row r="326" spans="1:11" x14ac:dyDescent="0.25">
      <c r="A326" s="25" t="s">
        <v>62</v>
      </c>
      <c r="B326" s="28">
        <f>(SUMSQ(E304:E321)/3)-B324</f>
        <v>0.3699648148148138</v>
      </c>
      <c r="C326" s="25" t="s">
        <v>63</v>
      </c>
      <c r="D326" s="28">
        <f>B325-B326-D325</f>
        <v>0.80586296296296478</v>
      </c>
      <c r="H326" s="27" t="s">
        <v>49</v>
      </c>
      <c r="I326" s="46">
        <f t="shared" ref="I326" si="157">B314+0.01</f>
        <v>0.35000000000000003</v>
      </c>
      <c r="J326" s="46">
        <f t="shared" si="155"/>
        <v>0.19</v>
      </c>
      <c r="K326" s="46">
        <f t="shared" si="156"/>
        <v>0.60000000000000009</v>
      </c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26"/>
  <sheetViews>
    <sheetView topLeftCell="A278" zoomScale="90" zoomScaleNormal="90" workbookViewId="0">
      <selection activeCell="N304" sqref="N304"/>
    </sheetView>
  </sheetViews>
  <sheetFormatPr defaultColWidth="8.85546875" defaultRowHeight="15" x14ac:dyDescent="0.25"/>
  <cols>
    <col min="1" max="1" width="17.7109375" style="15" bestFit="1" customWidth="1"/>
    <col min="2" max="2" width="11.5703125" style="16" bestFit="1" customWidth="1"/>
    <col min="3" max="3" width="11.42578125" style="16" customWidth="1"/>
    <col min="4" max="4" width="11.5703125" style="16" bestFit="1" customWidth="1"/>
    <col min="5" max="6" width="9.140625" style="16" bestFit="1" customWidth="1"/>
    <col min="7" max="7" width="10.7109375" style="16" bestFit="1" customWidth="1"/>
    <col min="8" max="8" width="9.140625" style="16" bestFit="1" customWidth="1"/>
    <col min="9" max="9" width="13.42578125" style="16" customWidth="1"/>
    <col min="10" max="10" width="11.28515625" style="16" bestFit="1" customWidth="1"/>
    <col min="11" max="11" width="10.28515625" style="16" bestFit="1" customWidth="1"/>
    <col min="12" max="12" width="9.140625" style="16" bestFit="1" customWidth="1"/>
    <col min="13" max="13" width="9.5703125" style="16" bestFit="1" customWidth="1"/>
    <col min="14" max="14" width="9.5703125" style="16" customWidth="1"/>
    <col min="15" max="15" width="9.140625" style="16" bestFit="1" customWidth="1"/>
    <col min="16" max="16" width="12.28515625" style="16" bestFit="1" customWidth="1"/>
    <col min="17" max="17" width="9.85546875" style="15" customWidth="1"/>
    <col min="18" max="16384" width="8.85546875" style="15"/>
  </cols>
  <sheetData>
    <row r="2" spans="1:21" x14ac:dyDescent="0.25">
      <c r="C2" s="17">
        <v>2019</v>
      </c>
    </row>
    <row r="3" spans="1:21" ht="15.75" x14ac:dyDescent="0.25">
      <c r="C3" s="50" t="s">
        <v>78</v>
      </c>
    </row>
    <row r="4" spans="1:21" x14ac:dyDescent="0.25">
      <c r="C4" s="51" t="s">
        <v>79</v>
      </c>
    </row>
    <row r="5" spans="1:21" x14ac:dyDescent="0.25">
      <c r="A5" s="19" t="s">
        <v>13</v>
      </c>
      <c r="B5" s="20">
        <v>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1"/>
      <c r="P5" s="21"/>
    </row>
    <row r="6" spans="1:21" x14ac:dyDescent="0.25">
      <c r="A6" s="19" t="s">
        <v>14</v>
      </c>
      <c r="B6" s="20">
        <v>9</v>
      </c>
      <c r="C6" s="21" t="s">
        <v>15</v>
      </c>
      <c r="D6" s="21">
        <v>18</v>
      </c>
      <c r="E6" s="21"/>
      <c r="F6" s="21"/>
      <c r="G6" s="21"/>
      <c r="H6" s="21"/>
      <c r="I6" s="21"/>
      <c r="J6" s="21"/>
      <c r="K6" s="21"/>
      <c r="L6" s="21"/>
      <c r="M6" s="22"/>
      <c r="N6" s="22"/>
      <c r="O6" s="21"/>
      <c r="P6" s="21"/>
    </row>
    <row r="7" spans="1:21" x14ac:dyDescent="0.25">
      <c r="A7" s="15" t="s">
        <v>16</v>
      </c>
      <c r="B7" s="23">
        <v>3</v>
      </c>
    </row>
    <row r="8" spans="1:21" x14ac:dyDescent="0.25">
      <c r="A8" s="24" t="s">
        <v>0</v>
      </c>
      <c r="B8" s="25" t="s">
        <v>17</v>
      </c>
      <c r="C8" s="25" t="s">
        <v>18</v>
      </c>
      <c r="D8" s="25" t="s">
        <v>19</v>
      </c>
      <c r="E8" s="25" t="s">
        <v>20</v>
      </c>
      <c r="F8" s="25" t="s">
        <v>11</v>
      </c>
      <c r="O8" s="16" t="s">
        <v>21</v>
      </c>
      <c r="S8" s="26">
        <v>2019</v>
      </c>
      <c r="T8" s="26"/>
      <c r="U8" s="26"/>
    </row>
    <row r="9" spans="1:21" x14ac:dyDescent="0.25">
      <c r="A9" s="27" t="s">
        <v>22</v>
      </c>
      <c r="B9" s="7">
        <v>1.33</v>
      </c>
      <c r="C9" s="7">
        <v>1.36</v>
      </c>
      <c r="D9" s="7">
        <v>1.3800000000000001</v>
      </c>
      <c r="E9" s="33">
        <f t="shared" ref="E9:E26" si="0">SUM(B9:D9)</f>
        <v>4.07</v>
      </c>
      <c r="F9" s="33">
        <f>E9/3</f>
        <v>1.3566666666666667</v>
      </c>
      <c r="H9" s="29"/>
      <c r="I9" s="29"/>
      <c r="J9" s="29" t="s">
        <v>23</v>
      </c>
      <c r="K9" s="29"/>
      <c r="L9" s="29"/>
      <c r="M9" s="29"/>
      <c r="N9" s="29"/>
      <c r="O9" s="30">
        <v>1</v>
      </c>
      <c r="P9" s="33">
        <f>SUM(F9:F17)/9</f>
        <v>1.5840740740740742</v>
      </c>
      <c r="Q9" s="31">
        <f>RANK(P9,P$9:P$10,0)</f>
        <v>1</v>
      </c>
      <c r="S9" s="26">
        <f>P9*1835</f>
        <v>2906.775925925926</v>
      </c>
      <c r="T9" s="26"/>
      <c r="U9" s="26"/>
    </row>
    <row r="10" spans="1:21" x14ac:dyDescent="0.25">
      <c r="A10" s="27" t="s">
        <v>24</v>
      </c>
      <c r="B10" s="7">
        <v>1.6300000000000001</v>
      </c>
      <c r="C10" s="7">
        <v>1.66</v>
      </c>
      <c r="D10" s="7">
        <v>1.62</v>
      </c>
      <c r="E10" s="33">
        <f t="shared" si="0"/>
        <v>4.91</v>
      </c>
      <c r="F10" s="33">
        <f t="shared" ref="F10:F26" si="1">E10/3</f>
        <v>1.6366666666666667</v>
      </c>
      <c r="G10" s="28"/>
      <c r="H10" s="25" t="s">
        <v>25</v>
      </c>
      <c r="I10" s="25" t="s">
        <v>26</v>
      </c>
      <c r="J10" s="25" t="s">
        <v>27</v>
      </c>
      <c r="K10" s="25" t="s">
        <v>28</v>
      </c>
      <c r="L10" s="25" t="s">
        <v>29</v>
      </c>
      <c r="M10" s="25" t="s">
        <v>30</v>
      </c>
      <c r="N10" s="32"/>
      <c r="O10" s="30">
        <v>2</v>
      </c>
      <c r="P10" s="33">
        <f>SUM(F18:F26)/9</f>
        <v>1.5185185185185184</v>
      </c>
      <c r="Q10" s="31">
        <f>RANK(P10,P$9:P$10,0)</f>
        <v>2</v>
      </c>
      <c r="S10" s="26">
        <f>P10*1835</f>
        <v>2786.4814814814813</v>
      </c>
      <c r="T10" s="26"/>
      <c r="U10" s="26"/>
    </row>
    <row r="11" spans="1:21" x14ac:dyDescent="0.25">
      <c r="A11" s="27" t="s">
        <v>31</v>
      </c>
      <c r="B11" s="7">
        <v>1.68</v>
      </c>
      <c r="C11" s="7">
        <v>1.62</v>
      </c>
      <c r="D11" s="7">
        <v>1.6700000000000002</v>
      </c>
      <c r="E11" s="33">
        <f t="shared" si="0"/>
        <v>4.97</v>
      </c>
      <c r="F11" s="33">
        <f t="shared" si="1"/>
        <v>1.6566666666666665</v>
      </c>
      <c r="G11" s="28" t="s">
        <v>32</v>
      </c>
      <c r="H11" s="28">
        <f>B7-1</f>
        <v>2</v>
      </c>
      <c r="I11" s="28">
        <f>D30</f>
        <v>3.672592592596402E-2</v>
      </c>
      <c r="J11" s="28">
        <f>I11/H11</f>
        <v>1.836296296298201E-2</v>
      </c>
      <c r="K11" s="28">
        <f>J11/$J$16</f>
        <v>1.9352957384297433</v>
      </c>
      <c r="L11" s="28">
        <f>FINV(0.05,H11,$H$16)</f>
        <v>3.275897990672394</v>
      </c>
      <c r="M11" s="28" t="str">
        <f>IF(K11&gt;=L11, "S", "NS")</f>
        <v>NS</v>
      </c>
      <c r="N11" s="21"/>
      <c r="O11" s="25" t="s">
        <v>33</v>
      </c>
      <c r="P11" s="33">
        <f>SQRT(J16/(3*9))</f>
        <v>1.8746311399194974E-2</v>
      </c>
      <c r="S11" s="26"/>
      <c r="T11" s="26"/>
      <c r="U11" s="26"/>
    </row>
    <row r="12" spans="1:21" x14ac:dyDescent="0.25">
      <c r="A12" s="27" t="s">
        <v>34</v>
      </c>
      <c r="B12" s="7">
        <v>1.43</v>
      </c>
      <c r="C12" s="7">
        <v>1.6099999999999999</v>
      </c>
      <c r="D12" s="7">
        <v>1.53</v>
      </c>
      <c r="E12" s="33">
        <f t="shared" si="0"/>
        <v>4.57</v>
      </c>
      <c r="F12" s="33">
        <f t="shared" si="1"/>
        <v>1.5233333333333334</v>
      </c>
      <c r="G12" s="28" t="s">
        <v>35</v>
      </c>
      <c r="H12" s="28">
        <f>D6-1</f>
        <v>17</v>
      </c>
      <c r="I12" s="28">
        <f>B31</f>
        <v>0.64607592592594187</v>
      </c>
      <c r="J12" s="28">
        <f t="shared" ref="J12:J16" si="2">I12/H12</f>
        <v>3.8004466230937756E-2</v>
      </c>
      <c r="K12" s="28">
        <f>J12/$J$16</f>
        <v>4.0053384459959158</v>
      </c>
      <c r="L12" s="28">
        <f>FINV(0.05,H12,$H$16)</f>
        <v>1.9332068318040869</v>
      </c>
      <c r="M12" s="34" t="str">
        <f t="shared" ref="M12:M15" si="3">IF(K12&gt;=L12, "S", "NS")</f>
        <v>S</v>
      </c>
      <c r="N12" s="25" t="s">
        <v>36</v>
      </c>
      <c r="O12" s="25" t="s">
        <v>37</v>
      </c>
      <c r="P12" s="33">
        <f>SQRT((2*J16)/(3*9))*L17</f>
        <v>5.3877419117726512E-2</v>
      </c>
      <c r="S12" s="26"/>
      <c r="T12" s="26"/>
      <c r="U12" s="26"/>
    </row>
    <row r="13" spans="1:21" x14ac:dyDescent="0.25">
      <c r="A13" s="27" t="s">
        <v>38</v>
      </c>
      <c r="B13" s="7">
        <v>1.6800000000000002</v>
      </c>
      <c r="C13" s="7">
        <v>1.32</v>
      </c>
      <c r="D13" s="7">
        <v>1.83</v>
      </c>
      <c r="E13" s="33">
        <f t="shared" si="0"/>
        <v>4.83</v>
      </c>
      <c r="F13" s="33">
        <f t="shared" si="1"/>
        <v>1.61</v>
      </c>
      <c r="G13" s="28" t="s">
        <v>39</v>
      </c>
      <c r="H13" s="28">
        <f>B5-1</f>
        <v>1</v>
      </c>
      <c r="I13" s="28">
        <f>(SUM(E9:E17)^2+SUM(E18:E26)^2)/27-B29</f>
        <v>5.8016666666730998E-2</v>
      </c>
      <c r="J13" s="28">
        <f t="shared" si="2"/>
        <v>5.8016666666730998E-2</v>
      </c>
      <c r="K13" s="28">
        <f>J13/$J$16</f>
        <v>6.1144493938351925</v>
      </c>
      <c r="L13" s="28">
        <f>FINV(0.05,H13,$H$16)</f>
        <v>4.1300177456520188</v>
      </c>
      <c r="M13" s="28" t="str">
        <f>IF(K13&gt;=L13, "S", "NS")</f>
        <v>S</v>
      </c>
      <c r="N13" s="21"/>
      <c r="O13" s="30">
        <v>1</v>
      </c>
      <c r="P13" s="33">
        <f>(F9+F18)/2</f>
        <v>1.3583333333333334</v>
      </c>
      <c r="Q13" s="31">
        <f>RANK(P13,P$13:P$21,0)</f>
        <v>9</v>
      </c>
      <c r="R13" s="35">
        <v>9</v>
      </c>
      <c r="S13" s="36">
        <f>P13*1835</f>
        <v>2492.541666666667</v>
      </c>
      <c r="T13" s="36"/>
      <c r="U13" s="36"/>
    </row>
    <row r="14" spans="1:21" x14ac:dyDescent="0.25">
      <c r="A14" s="27" t="s">
        <v>40</v>
      </c>
      <c r="B14" s="7">
        <v>1.67</v>
      </c>
      <c r="C14" s="7">
        <v>1.68</v>
      </c>
      <c r="D14" s="7">
        <v>1.88</v>
      </c>
      <c r="E14" s="33">
        <f t="shared" si="0"/>
        <v>5.2299999999999995</v>
      </c>
      <c r="F14" s="33">
        <f t="shared" si="1"/>
        <v>1.7433333333333332</v>
      </c>
      <c r="G14" s="28" t="s">
        <v>41</v>
      </c>
      <c r="H14" s="28">
        <f>B6-1</f>
        <v>8</v>
      </c>
      <c r="I14" s="28">
        <f>((E9+E18)^2+(E10+E19)^2+(E11+E20)^2+(E12+E21)^2+(E13+E22)^2+(E14+E23)^2+(E15+E24)^2+(E16+E25)^2+(E17+E26)^2/6)-B29</f>
        <v>588.95352592592587</v>
      </c>
      <c r="J14" s="28">
        <f t="shared" si="2"/>
        <v>73.619190740740734</v>
      </c>
      <c r="K14" s="28">
        <f>J14/$J$16</f>
        <v>7758.8190094603924</v>
      </c>
      <c r="L14" s="28">
        <f>FINV(0.05,H14,$H$16)</f>
        <v>2.2253399674380931</v>
      </c>
      <c r="M14" s="28" t="str">
        <f>IF(K14&gt;=L14, "S", "NS")</f>
        <v>S</v>
      </c>
      <c r="N14" s="21"/>
      <c r="O14" s="30">
        <v>2</v>
      </c>
      <c r="P14" s="33">
        <f t="shared" ref="P14:P21" si="4">(F10+F19)/2</f>
        <v>1.6383333333333332</v>
      </c>
      <c r="Q14" s="31">
        <f t="shared" ref="Q14:Q21" si="5">RANK(P14,P$13:P$21,0)</f>
        <v>2</v>
      </c>
      <c r="R14" s="37">
        <v>5</v>
      </c>
      <c r="S14" s="36">
        <f t="shared" ref="S14:S21" si="6">P14*1835</f>
        <v>3006.3416666666662</v>
      </c>
      <c r="T14" s="26"/>
      <c r="U14" s="26"/>
    </row>
    <row r="15" spans="1:21" x14ac:dyDescent="0.25">
      <c r="A15" s="27" t="s">
        <v>42</v>
      </c>
      <c r="B15" s="7">
        <v>1.57</v>
      </c>
      <c r="C15" s="7">
        <v>1.6</v>
      </c>
      <c r="D15" s="7">
        <v>1.62</v>
      </c>
      <c r="E15" s="33">
        <f t="shared" si="0"/>
        <v>4.79</v>
      </c>
      <c r="F15" s="33">
        <f t="shared" si="1"/>
        <v>1.5966666666666667</v>
      </c>
      <c r="G15" s="38" t="s">
        <v>43</v>
      </c>
      <c r="H15" s="28">
        <f>H13*H14</f>
        <v>8</v>
      </c>
      <c r="I15" s="28">
        <f>I12-(I13+I14)</f>
        <v>-588.36546666666663</v>
      </c>
      <c r="J15" s="28">
        <f t="shared" si="2"/>
        <v>-73.545683333333329</v>
      </c>
      <c r="K15" s="39">
        <f>J15/$J$16</f>
        <v>-7751.0719714368806</v>
      </c>
      <c r="L15" s="28">
        <f>FINV(0.05,H15,$H$16)</f>
        <v>2.2253399674380931</v>
      </c>
      <c r="M15" s="28" t="str">
        <f t="shared" si="3"/>
        <v>NS</v>
      </c>
      <c r="N15" s="21"/>
      <c r="O15" s="30">
        <v>3</v>
      </c>
      <c r="P15" s="33">
        <f t="shared" si="4"/>
        <v>1.6116666666666666</v>
      </c>
      <c r="Q15" s="31">
        <f t="shared" si="5"/>
        <v>4</v>
      </c>
      <c r="R15" s="37">
        <v>2</v>
      </c>
      <c r="S15" s="36">
        <f t="shared" si="6"/>
        <v>2957.4083333333333</v>
      </c>
      <c r="T15" s="26"/>
      <c r="U15" s="26"/>
    </row>
    <row r="16" spans="1:21" x14ac:dyDescent="0.25">
      <c r="A16" s="27" t="s">
        <v>44</v>
      </c>
      <c r="B16" s="7">
        <v>1.36</v>
      </c>
      <c r="C16" s="7">
        <v>1.65</v>
      </c>
      <c r="D16" s="7">
        <v>1.86</v>
      </c>
      <c r="E16" s="33">
        <f t="shared" si="0"/>
        <v>4.87</v>
      </c>
      <c r="F16" s="33">
        <f t="shared" si="1"/>
        <v>1.6233333333333333</v>
      </c>
      <c r="G16" s="40" t="s">
        <v>45</v>
      </c>
      <c r="H16" s="28">
        <f>((B7-1)*(B5*B6-1))</f>
        <v>34</v>
      </c>
      <c r="I16" s="28">
        <f>D31</f>
        <v>0.32260740740738925</v>
      </c>
      <c r="J16" s="28">
        <f t="shared" si="2"/>
        <v>9.4884531590408595E-3</v>
      </c>
      <c r="O16" s="30">
        <v>4</v>
      </c>
      <c r="P16" s="33">
        <f t="shared" si="4"/>
        <v>1.4833333333333334</v>
      </c>
      <c r="Q16" s="31">
        <f t="shared" si="5"/>
        <v>7</v>
      </c>
      <c r="R16" s="37">
        <v>7</v>
      </c>
      <c r="S16" s="36">
        <f t="shared" si="6"/>
        <v>2721.916666666667</v>
      </c>
      <c r="T16" s="26"/>
      <c r="U16" s="26"/>
    </row>
    <row r="17" spans="1:21" x14ac:dyDescent="0.25">
      <c r="A17" s="27" t="s">
        <v>46</v>
      </c>
      <c r="B17" s="7">
        <v>1.53</v>
      </c>
      <c r="C17" s="7">
        <v>1.5</v>
      </c>
      <c r="D17" s="7">
        <v>1.5</v>
      </c>
      <c r="E17" s="33">
        <f t="shared" si="0"/>
        <v>4.53</v>
      </c>
      <c r="F17" s="33">
        <f t="shared" si="1"/>
        <v>1.51</v>
      </c>
      <c r="G17" s="39" t="s">
        <v>20</v>
      </c>
      <c r="H17" s="28">
        <f>SUM(H11:H16)-H12</f>
        <v>53</v>
      </c>
      <c r="I17" s="28">
        <f>B30</f>
        <v>1.0054092592592951</v>
      </c>
      <c r="K17" s="28" t="s">
        <v>47</v>
      </c>
      <c r="L17" s="16">
        <f>TINV(0.05,34)</f>
        <v>2.0322445093177191</v>
      </c>
      <c r="O17" s="30">
        <v>5</v>
      </c>
      <c r="P17" s="33">
        <f t="shared" si="4"/>
        <v>1.6133333333333335</v>
      </c>
      <c r="Q17" s="31">
        <f t="shared" si="5"/>
        <v>3</v>
      </c>
      <c r="R17" s="35">
        <v>3</v>
      </c>
      <c r="S17" s="36">
        <f t="shared" si="6"/>
        <v>2960.4666666666672</v>
      </c>
      <c r="T17" s="41"/>
      <c r="U17" s="41"/>
    </row>
    <row r="18" spans="1:21" x14ac:dyDescent="0.25">
      <c r="A18" s="27" t="s">
        <v>48</v>
      </c>
      <c r="B18" s="7">
        <v>1.35</v>
      </c>
      <c r="C18" s="7">
        <v>1.37</v>
      </c>
      <c r="D18" s="7">
        <v>1.36</v>
      </c>
      <c r="E18" s="33">
        <f t="shared" si="0"/>
        <v>4.08</v>
      </c>
      <c r="F18" s="33">
        <f t="shared" si="1"/>
        <v>1.36</v>
      </c>
      <c r="G18" s="42" t="s">
        <v>33</v>
      </c>
      <c r="H18" s="28">
        <f>SQRT(J16/3)</f>
        <v>5.6238934197584918E-2</v>
      </c>
      <c r="O18" s="30">
        <v>6</v>
      </c>
      <c r="P18" s="33">
        <f t="shared" si="4"/>
        <v>1.71</v>
      </c>
      <c r="Q18" s="31">
        <f t="shared" si="5"/>
        <v>1</v>
      </c>
      <c r="R18" s="37">
        <v>1</v>
      </c>
      <c r="S18" s="36">
        <f t="shared" si="6"/>
        <v>3137.85</v>
      </c>
      <c r="T18" s="41"/>
      <c r="U18" s="41"/>
    </row>
    <row r="19" spans="1:21" x14ac:dyDescent="0.25">
      <c r="A19" s="27" t="s">
        <v>49</v>
      </c>
      <c r="B19" s="7">
        <v>1.66</v>
      </c>
      <c r="C19" s="7">
        <v>1.58</v>
      </c>
      <c r="D19" s="7">
        <v>1.68</v>
      </c>
      <c r="E19" s="33">
        <f t="shared" si="0"/>
        <v>4.92</v>
      </c>
      <c r="F19" s="33">
        <f t="shared" si="1"/>
        <v>1.64</v>
      </c>
      <c r="G19" s="42" t="s">
        <v>37</v>
      </c>
      <c r="H19" s="28">
        <f>(SQRT((2*J16)/3))*L17</f>
        <v>0.16163225735317951</v>
      </c>
      <c r="O19" s="30">
        <v>7</v>
      </c>
      <c r="P19" s="33">
        <f t="shared" si="4"/>
        <v>1.52</v>
      </c>
      <c r="Q19" s="31">
        <f t="shared" si="5"/>
        <v>6</v>
      </c>
      <c r="R19" s="37">
        <v>6</v>
      </c>
      <c r="S19" s="36">
        <f t="shared" si="6"/>
        <v>2789.2</v>
      </c>
      <c r="T19" s="41"/>
      <c r="U19" s="41"/>
    </row>
    <row r="20" spans="1:21" x14ac:dyDescent="0.25">
      <c r="A20" s="27" t="s">
        <v>50</v>
      </c>
      <c r="B20" s="7">
        <v>1.55</v>
      </c>
      <c r="C20" s="7">
        <v>1.6600000000000001</v>
      </c>
      <c r="D20" s="7">
        <v>1.49</v>
      </c>
      <c r="E20" s="33">
        <f t="shared" si="0"/>
        <v>4.7</v>
      </c>
      <c r="F20" s="33">
        <f t="shared" si="1"/>
        <v>1.5666666666666667</v>
      </c>
      <c r="G20" s="42" t="s">
        <v>51</v>
      </c>
      <c r="H20" s="28">
        <f>((SQRT(J16))/F27)*100</f>
        <v>6.2791802975551576</v>
      </c>
      <c r="O20" s="30">
        <v>8</v>
      </c>
      <c r="P20" s="33">
        <f t="shared" si="4"/>
        <v>1.5649999999999999</v>
      </c>
      <c r="Q20" s="31">
        <f t="shared" si="5"/>
        <v>5</v>
      </c>
      <c r="R20" s="35">
        <v>4</v>
      </c>
      <c r="S20" s="36">
        <f t="shared" si="6"/>
        <v>2871.7750000000001</v>
      </c>
      <c r="T20" s="41"/>
      <c r="U20" s="41"/>
    </row>
    <row r="21" spans="1:21" x14ac:dyDescent="0.25">
      <c r="A21" s="27" t="s">
        <v>52</v>
      </c>
      <c r="B21" s="7">
        <v>1.4500000000000002</v>
      </c>
      <c r="C21" s="7">
        <v>1.48</v>
      </c>
      <c r="D21" s="7">
        <v>1.4000000000000001</v>
      </c>
      <c r="E21" s="33">
        <f t="shared" si="0"/>
        <v>4.33</v>
      </c>
      <c r="F21" s="33">
        <f t="shared" si="1"/>
        <v>1.4433333333333334</v>
      </c>
      <c r="O21" s="30">
        <v>9</v>
      </c>
      <c r="P21" s="33">
        <f t="shared" si="4"/>
        <v>1.4616666666666667</v>
      </c>
      <c r="Q21" s="31">
        <f t="shared" si="5"/>
        <v>8</v>
      </c>
      <c r="R21" s="37">
        <v>8</v>
      </c>
      <c r="S21" s="36">
        <f t="shared" si="6"/>
        <v>2682.1583333333333</v>
      </c>
      <c r="T21" s="41"/>
      <c r="U21" s="41"/>
    </row>
    <row r="22" spans="1:21" x14ac:dyDescent="0.25">
      <c r="A22" s="27" t="s">
        <v>53</v>
      </c>
      <c r="B22" s="7">
        <v>1.56</v>
      </c>
      <c r="C22" s="7">
        <v>1.59</v>
      </c>
      <c r="D22" s="7">
        <v>1.7</v>
      </c>
      <c r="E22" s="33">
        <f t="shared" si="0"/>
        <v>4.8500000000000005</v>
      </c>
      <c r="F22" s="33">
        <f t="shared" si="1"/>
        <v>1.6166666666666669</v>
      </c>
      <c r="H22" s="16" t="s">
        <v>54</v>
      </c>
      <c r="O22" s="25" t="s">
        <v>33</v>
      </c>
      <c r="P22" s="33">
        <f>SQRT(J16/(3*2))</f>
        <v>3.976693173781632E-2</v>
      </c>
      <c r="Q22" s="31"/>
      <c r="S22" s="41"/>
      <c r="T22" s="41"/>
      <c r="U22" s="41"/>
    </row>
    <row r="23" spans="1:21" x14ac:dyDescent="0.25">
      <c r="A23" s="27" t="s">
        <v>55</v>
      </c>
      <c r="B23" s="7">
        <v>1.71</v>
      </c>
      <c r="C23" s="7">
        <v>1.68</v>
      </c>
      <c r="D23" s="7">
        <v>1.6400000000000001</v>
      </c>
      <c r="E23" s="33">
        <f t="shared" si="0"/>
        <v>5.0299999999999994</v>
      </c>
      <c r="F23" s="33">
        <f t="shared" si="1"/>
        <v>1.6766666666666665</v>
      </c>
      <c r="G23" s="43">
        <v>1</v>
      </c>
      <c r="H23" s="16">
        <f>F9-F18</f>
        <v>-3.3333333333334103E-3</v>
      </c>
      <c r="I23" s="46">
        <f>B9+0.01</f>
        <v>1.34</v>
      </c>
      <c r="J23" s="46">
        <f t="shared" ref="J23:K23" si="7">C9+0.01</f>
        <v>1.37</v>
      </c>
      <c r="K23" s="46">
        <f t="shared" si="7"/>
        <v>1.3900000000000001</v>
      </c>
      <c r="N23" s="25" t="s">
        <v>41</v>
      </c>
      <c r="O23" s="25" t="s">
        <v>37</v>
      </c>
      <c r="P23" s="33">
        <f>SQRT((2*J16)/(3*2))*L17</f>
        <v>0.11429126523292245</v>
      </c>
      <c r="Q23" s="31"/>
      <c r="S23" s="41"/>
      <c r="T23" s="41"/>
      <c r="U23" s="41"/>
    </row>
    <row r="24" spans="1:21" x14ac:dyDescent="0.25">
      <c r="A24" s="27" t="s">
        <v>56</v>
      </c>
      <c r="B24" s="7">
        <v>1.43</v>
      </c>
      <c r="C24" s="7">
        <v>1.46</v>
      </c>
      <c r="D24" s="7">
        <v>1.44</v>
      </c>
      <c r="E24" s="33">
        <f t="shared" si="0"/>
        <v>4.33</v>
      </c>
      <c r="F24" s="33">
        <f>E24/3</f>
        <v>1.4433333333333334</v>
      </c>
      <c r="G24" s="43">
        <v>2</v>
      </c>
      <c r="H24" s="16">
        <f t="shared" ref="H24:H31" si="8">F10-F19</f>
        <v>-3.3333333333331883E-3</v>
      </c>
      <c r="I24" s="46">
        <f t="shared" ref="I24:I31" si="9">B10+0.01</f>
        <v>1.6400000000000001</v>
      </c>
      <c r="J24" s="46">
        <f t="shared" ref="J24:J31" si="10">C10+0.01</f>
        <v>1.67</v>
      </c>
      <c r="K24" s="46">
        <f t="shared" ref="K24:K31" si="11">D10+0.01</f>
        <v>1.6300000000000001</v>
      </c>
      <c r="Q24" s="31"/>
      <c r="S24" s="41"/>
      <c r="T24" s="41"/>
      <c r="U24" s="41"/>
    </row>
    <row r="25" spans="1:21" x14ac:dyDescent="0.25">
      <c r="A25" s="27" t="s">
        <v>57</v>
      </c>
      <c r="B25" s="7">
        <v>1.53</v>
      </c>
      <c r="C25" s="7">
        <v>1.48</v>
      </c>
      <c r="D25" s="7">
        <v>1.51</v>
      </c>
      <c r="E25" s="33">
        <f t="shared" si="0"/>
        <v>4.5199999999999996</v>
      </c>
      <c r="F25" s="33">
        <f t="shared" si="1"/>
        <v>1.5066666666666666</v>
      </c>
      <c r="G25" s="43">
        <v>3</v>
      </c>
      <c r="H25" s="16">
        <f t="shared" si="8"/>
        <v>8.9999999999999858E-2</v>
      </c>
      <c r="I25" s="46">
        <f t="shared" si="9"/>
        <v>1.69</v>
      </c>
      <c r="J25" s="46">
        <f t="shared" si="10"/>
        <v>1.6300000000000001</v>
      </c>
      <c r="K25" s="46">
        <f t="shared" si="11"/>
        <v>1.6800000000000002</v>
      </c>
      <c r="S25" s="41"/>
      <c r="T25" s="41"/>
      <c r="U25" s="41"/>
    </row>
    <row r="26" spans="1:21" x14ac:dyDescent="0.25">
      <c r="A26" s="27" t="s">
        <v>58</v>
      </c>
      <c r="B26" s="7">
        <v>1.35</v>
      </c>
      <c r="C26" s="7">
        <v>1.43</v>
      </c>
      <c r="D26" s="7">
        <v>1.46</v>
      </c>
      <c r="E26" s="33">
        <f t="shared" si="0"/>
        <v>4.24</v>
      </c>
      <c r="F26" s="33">
        <f t="shared" si="1"/>
        <v>1.4133333333333333</v>
      </c>
      <c r="G26" s="43">
        <v>4</v>
      </c>
      <c r="H26" s="16">
        <f t="shared" si="8"/>
        <v>8.0000000000000071E-2</v>
      </c>
      <c r="I26" s="46">
        <f t="shared" si="9"/>
        <v>1.44</v>
      </c>
      <c r="J26" s="46">
        <f t="shared" si="10"/>
        <v>1.6199999999999999</v>
      </c>
      <c r="K26" s="46">
        <f t="shared" si="11"/>
        <v>1.54</v>
      </c>
    </row>
    <row r="27" spans="1:21" x14ac:dyDescent="0.25">
      <c r="A27" s="25" t="s">
        <v>20</v>
      </c>
      <c r="B27" s="28">
        <f>SUM(B9:B26)</f>
        <v>27.47</v>
      </c>
      <c r="C27" s="28">
        <f>SUM(C9:C26)</f>
        <v>27.730000000000004</v>
      </c>
      <c r="D27" s="28">
        <f>SUM(D9:D26)</f>
        <v>28.57</v>
      </c>
      <c r="E27" s="28">
        <f>SUM(E9:E26)</f>
        <v>83.77</v>
      </c>
      <c r="F27" s="28">
        <f>AVERAGE(B9:D26)</f>
        <v>1.5512962962962962</v>
      </c>
      <c r="G27" s="43">
        <v>5</v>
      </c>
      <c r="H27" s="16">
        <f t="shared" si="8"/>
        <v>-6.6666666666668206E-3</v>
      </c>
      <c r="I27" s="46">
        <f t="shared" si="9"/>
        <v>1.6900000000000002</v>
      </c>
      <c r="J27" s="46">
        <f t="shared" si="10"/>
        <v>1.33</v>
      </c>
      <c r="K27" s="46">
        <f t="shared" si="11"/>
        <v>1.84</v>
      </c>
    </row>
    <row r="28" spans="1:21" x14ac:dyDescent="0.25">
      <c r="A28" s="25" t="s">
        <v>11</v>
      </c>
      <c r="B28" s="28">
        <f>B27/18</f>
        <v>1.526111111111111</v>
      </c>
      <c r="C28" s="28">
        <f>C27/18</f>
        <v>1.5405555555555557</v>
      </c>
      <c r="D28" s="28">
        <f>D27/18</f>
        <v>1.5872222222222223</v>
      </c>
      <c r="G28" s="43">
        <v>6</v>
      </c>
      <c r="H28" s="16">
        <f t="shared" si="8"/>
        <v>6.6666666666666652E-2</v>
      </c>
      <c r="I28" s="46">
        <f t="shared" si="9"/>
        <v>1.68</v>
      </c>
      <c r="J28" s="46">
        <f t="shared" si="10"/>
        <v>1.69</v>
      </c>
      <c r="K28" s="46">
        <f t="shared" si="11"/>
        <v>1.89</v>
      </c>
    </row>
    <row r="29" spans="1:21" x14ac:dyDescent="0.25">
      <c r="A29" s="25" t="s">
        <v>59</v>
      </c>
      <c r="B29" s="28">
        <f>(E27*E27)/54</f>
        <v>129.95209074074072</v>
      </c>
      <c r="C29" s="28"/>
      <c r="D29" s="28"/>
      <c r="G29" s="43">
        <v>7</v>
      </c>
      <c r="H29" s="16">
        <f t="shared" si="8"/>
        <v>0.15333333333333332</v>
      </c>
      <c r="I29" s="46">
        <f t="shared" si="9"/>
        <v>1.58</v>
      </c>
      <c r="J29" s="46">
        <f t="shared" si="10"/>
        <v>1.61</v>
      </c>
      <c r="K29" s="46">
        <f t="shared" si="11"/>
        <v>1.6300000000000001</v>
      </c>
    </row>
    <row r="30" spans="1:21" x14ac:dyDescent="0.25">
      <c r="A30" s="25" t="s">
        <v>60</v>
      </c>
      <c r="B30" s="28">
        <f>SUMSQ(B9:D26)-B29</f>
        <v>1.0054092592592951</v>
      </c>
      <c r="C30" s="25" t="s">
        <v>61</v>
      </c>
      <c r="D30" s="28">
        <f>(SUMSQ(B27:D27)/18)-B29</f>
        <v>3.672592592596402E-2</v>
      </c>
      <c r="G30" s="43">
        <v>8</v>
      </c>
      <c r="H30" s="16">
        <f t="shared" si="8"/>
        <v>0.1166666666666667</v>
      </c>
      <c r="I30" s="46">
        <f t="shared" si="9"/>
        <v>1.37</v>
      </c>
      <c r="J30" s="46">
        <f t="shared" si="10"/>
        <v>1.66</v>
      </c>
      <c r="K30" s="46">
        <f t="shared" si="11"/>
        <v>1.87</v>
      </c>
    </row>
    <row r="31" spans="1:21" x14ac:dyDescent="0.25">
      <c r="A31" s="25" t="s">
        <v>62</v>
      </c>
      <c r="B31" s="28">
        <f>(SUMSQ(E9:E26)/3)-B29</f>
        <v>0.64607592592594187</v>
      </c>
      <c r="C31" s="25" t="s">
        <v>63</v>
      </c>
      <c r="D31" s="28">
        <f>B30-B31-D30</f>
        <v>0.32260740740738925</v>
      </c>
      <c r="G31" s="43">
        <v>9</v>
      </c>
      <c r="H31" s="16">
        <f t="shared" si="8"/>
        <v>9.6666666666666679E-2</v>
      </c>
      <c r="I31" s="46">
        <f t="shared" si="9"/>
        <v>1.54</v>
      </c>
      <c r="J31" s="46">
        <f t="shared" si="10"/>
        <v>1.51</v>
      </c>
      <c r="K31" s="46">
        <f t="shared" si="11"/>
        <v>1.51</v>
      </c>
    </row>
    <row r="32" spans="1:21" x14ac:dyDescent="0.25">
      <c r="I32" s="46">
        <f>B18-0.02</f>
        <v>1.33</v>
      </c>
      <c r="J32" s="46">
        <f t="shared" ref="J32:K32" si="12">C18-0.02</f>
        <v>1.35</v>
      </c>
      <c r="K32" s="46">
        <f t="shared" si="12"/>
        <v>1.34</v>
      </c>
    </row>
    <row r="33" spans="1:22" x14ac:dyDescent="0.25">
      <c r="I33" s="46">
        <f t="shared" ref="I33:I40" si="13">B19-0.02</f>
        <v>1.64</v>
      </c>
      <c r="J33" s="46">
        <f t="shared" ref="J33:J40" si="14">C19-0.02</f>
        <v>1.56</v>
      </c>
      <c r="K33" s="46">
        <f t="shared" ref="K33:K40" si="15">D19-0.02</f>
        <v>1.66</v>
      </c>
    </row>
    <row r="34" spans="1:22" x14ac:dyDescent="0.25">
      <c r="I34" s="46">
        <f t="shared" si="13"/>
        <v>1.53</v>
      </c>
      <c r="J34" s="46">
        <f t="shared" si="14"/>
        <v>1.6400000000000001</v>
      </c>
      <c r="K34" s="46">
        <f t="shared" si="15"/>
        <v>1.47</v>
      </c>
    </row>
    <row r="35" spans="1:22" ht="15.75" x14ac:dyDescent="0.25">
      <c r="C35" s="18" t="s">
        <v>84</v>
      </c>
      <c r="I35" s="46">
        <f t="shared" si="13"/>
        <v>1.4300000000000002</v>
      </c>
      <c r="J35" s="46">
        <f t="shared" si="14"/>
        <v>1.46</v>
      </c>
      <c r="K35" s="46">
        <f t="shared" si="15"/>
        <v>1.3800000000000001</v>
      </c>
    </row>
    <row r="36" spans="1:22" x14ac:dyDescent="0.25">
      <c r="I36" s="46">
        <f t="shared" si="13"/>
        <v>1.54</v>
      </c>
      <c r="J36" s="46">
        <f t="shared" si="14"/>
        <v>1.57</v>
      </c>
      <c r="K36" s="46">
        <f t="shared" si="15"/>
        <v>1.68</v>
      </c>
    </row>
    <row r="37" spans="1:22" x14ac:dyDescent="0.25">
      <c r="A37" s="19" t="s">
        <v>13</v>
      </c>
      <c r="B37" s="20">
        <v>2</v>
      </c>
      <c r="C37" s="21"/>
      <c r="D37" s="21"/>
      <c r="E37" s="21"/>
      <c r="F37" s="21"/>
      <c r="G37" s="21"/>
      <c r="H37" s="21"/>
      <c r="I37" s="46">
        <f t="shared" si="13"/>
        <v>1.69</v>
      </c>
      <c r="J37" s="46">
        <f t="shared" si="14"/>
        <v>1.66</v>
      </c>
      <c r="K37" s="46">
        <f t="shared" si="15"/>
        <v>1.62</v>
      </c>
      <c r="L37" s="21"/>
      <c r="M37" s="22"/>
      <c r="N37" s="22"/>
      <c r="O37" s="21"/>
      <c r="P37" s="21"/>
      <c r="T37" s="52">
        <v>1.51</v>
      </c>
      <c r="U37" s="52">
        <v>1.4800000000000002</v>
      </c>
      <c r="V37" s="52">
        <v>1.45</v>
      </c>
    </row>
    <row r="38" spans="1:22" x14ac:dyDescent="0.25">
      <c r="A38" s="19" t="s">
        <v>14</v>
      </c>
      <c r="B38" s="20">
        <v>9</v>
      </c>
      <c r="C38" s="21" t="s">
        <v>15</v>
      </c>
      <c r="D38" s="21">
        <v>18</v>
      </c>
      <c r="E38" s="21"/>
      <c r="F38" s="21"/>
      <c r="G38" s="21"/>
      <c r="H38" s="21"/>
      <c r="I38" s="46">
        <f t="shared" si="13"/>
        <v>1.41</v>
      </c>
      <c r="J38" s="46">
        <f t="shared" si="14"/>
        <v>1.44</v>
      </c>
      <c r="K38" s="46">
        <f t="shared" si="15"/>
        <v>1.42</v>
      </c>
      <c r="L38" s="21"/>
      <c r="M38" s="22"/>
      <c r="N38" s="22"/>
      <c r="O38" s="21"/>
      <c r="P38" s="21"/>
      <c r="T38" s="52">
        <v>1.75</v>
      </c>
      <c r="U38" s="52">
        <v>1.7800000000000002</v>
      </c>
      <c r="V38" s="52">
        <v>1.74</v>
      </c>
    </row>
    <row r="39" spans="1:22" x14ac:dyDescent="0.25">
      <c r="A39" s="15" t="s">
        <v>16</v>
      </c>
      <c r="B39" s="23">
        <v>3</v>
      </c>
      <c r="I39" s="46">
        <f t="shared" si="13"/>
        <v>1.51</v>
      </c>
      <c r="J39" s="46">
        <f t="shared" si="14"/>
        <v>1.46</v>
      </c>
      <c r="K39" s="46">
        <f t="shared" si="15"/>
        <v>1.49</v>
      </c>
      <c r="T39" s="52">
        <v>1.78</v>
      </c>
      <c r="U39" s="52">
        <v>1.78</v>
      </c>
      <c r="V39" s="52">
        <v>1.7900000000000003</v>
      </c>
    </row>
    <row r="40" spans="1:22" x14ac:dyDescent="0.25">
      <c r="A40" s="24" t="s">
        <v>0</v>
      </c>
      <c r="B40" s="25" t="s">
        <v>17</v>
      </c>
      <c r="C40" s="25" t="s">
        <v>18</v>
      </c>
      <c r="D40" s="25" t="s">
        <v>19</v>
      </c>
      <c r="E40" s="25" t="s">
        <v>20</v>
      </c>
      <c r="F40" s="25" t="s">
        <v>11</v>
      </c>
      <c r="I40" s="46">
        <f t="shared" si="13"/>
        <v>1.33</v>
      </c>
      <c r="J40" s="46">
        <f t="shared" si="14"/>
        <v>1.41</v>
      </c>
      <c r="K40" s="46">
        <f t="shared" si="15"/>
        <v>1.44</v>
      </c>
      <c r="O40" s="16" t="s">
        <v>21</v>
      </c>
      <c r="R40" s="16"/>
      <c r="T40" s="52">
        <v>1.6600000000000001</v>
      </c>
      <c r="U40" s="52">
        <v>1.6800000000000002</v>
      </c>
      <c r="V40" s="52">
        <v>1.6500000000000001</v>
      </c>
    </row>
    <row r="41" spans="1:22" x14ac:dyDescent="0.25">
      <c r="A41" s="27" t="s">
        <v>22</v>
      </c>
      <c r="B41" s="45">
        <v>3.34</v>
      </c>
      <c r="C41" s="45">
        <v>3.41</v>
      </c>
      <c r="D41" s="45">
        <v>3.4800000000000004</v>
      </c>
      <c r="E41" s="28">
        <f>SUM(B41:D41)</f>
        <v>10.23</v>
      </c>
      <c r="F41" s="28">
        <f>E41/3</f>
        <v>3.41</v>
      </c>
      <c r="H41" s="29"/>
      <c r="I41" s="29"/>
      <c r="J41" s="29" t="s">
        <v>23</v>
      </c>
      <c r="K41" s="29"/>
      <c r="L41" s="29"/>
      <c r="M41" s="29"/>
      <c r="N41" s="29"/>
      <c r="O41" s="30">
        <v>1</v>
      </c>
      <c r="P41" s="33">
        <f>SUM(F41:F49)/9</f>
        <v>3.6418518518518517</v>
      </c>
      <c r="Q41" s="31" t="e">
        <f>RANK(P41,P$105:P$106,0)</f>
        <v>#N/A</v>
      </c>
      <c r="R41" s="16"/>
      <c r="T41" s="52">
        <v>1.7</v>
      </c>
      <c r="U41" s="52">
        <v>1.7400000000000002</v>
      </c>
      <c r="V41" s="52">
        <v>1.75</v>
      </c>
    </row>
    <row r="42" spans="1:22" x14ac:dyDescent="0.25">
      <c r="A42" s="27" t="s">
        <v>24</v>
      </c>
      <c r="B42" s="45">
        <v>3.58</v>
      </c>
      <c r="C42" s="45">
        <v>3.71</v>
      </c>
      <c r="D42" s="45">
        <v>3.77</v>
      </c>
      <c r="E42" s="28">
        <f t="shared" ref="E42:E58" si="16">SUM(B42:D42)</f>
        <v>11.06</v>
      </c>
      <c r="F42" s="28">
        <f t="shared" ref="F42:F55" si="17">E42/3</f>
        <v>3.686666666666667</v>
      </c>
      <c r="G42" s="28"/>
      <c r="H42" s="25" t="s">
        <v>25</v>
      </c>
      <c r="I42" s="25" t="s">
        <v>26</v>
      </c>
      <c r="J42" s="25" t="s">
        <v>27</v>
      </c>
      <c r="K42" s="25" t="s">
        <v>28</v>
      </c>
      <c r="L42" s="25" t="s">
        <v>29</v>
      </c>
      <c r="M42" s="25" t="s">
        <v>30</v>
      </c>
      <c r="N42" s="32"/>
      <c r="O42" s="30">
        <v>2</v>
      </c>
      <c r="P42" s="33">
        <f>SUM(F50:F58)/9</f>
        <v>3.1988888888888893</v>
      </c>
      <c r="Q42" s="31" t="e">
        <f>RANK(P42,P$105:P$106,0)</f>
        <v>#N/A</v>
      </c>
      <c r="R42" s="16"/>
      <c r="T42" s="52">
        <v>1.9100000000000001</v>
      </c>
      <c r="U42" s="52">
        <v>1.85</v>
      </c>
      <c r="V42" s="52">
        <v>1.9500000000000002</v>
      </c>
    </row>
    <row r="43" spans="1:22" x14ac:dyDescent="0.25">
      <c r="A43" s="27" t="s">
        <v>31</v>
      </c>
      <c r="B43" s="45">
        <v>3.75</v>
      </c>
      <c r="C43" s="45">
        <v>3.67</v>
      </c>
      <c r="D43" s="45">
        <v>3.72</v>
      </c>
      <c r="E43" s="28">
        <f t="shared" si="16"/>
        <v>11.14</v>
      </c>
      <c r="F43" s="28">
        <f t="shared" si="17"/>
        <v>3.7133333333333334</v>
      </c>
      <c r="G43" s="28" t="s">
        <v>32</v>
      </c>
      <c r="H43" s="28">
        <f>B39-1</f>
        <v>2</v>
      </c>
      <c r="I43" s="28">
        <f>D62</f>
        <v>0.14810370370412329</v>
      </c>
      <c r="J43" s="28">
        <f>I43/H43</f>
        <v>7.4051851852061645E-2</v>
      </c>
      <c r="K43" s="28">
        <f>J43/$J$16</f>
        <v>7.804417707590515</v>
      </c>
      <c r="L43" s="28">
        <f>FINV(0.05,H43,$H$16)</f>
        <v>3.275897990672394</v>
      </c>
      <c r="M43" s="28" t="str">
        <f>IF(K43&gt;=L43, "S", "NS")</f>
        <v>S</v>
      </c>
      <c r="N43" s="21"/>
      <c r="O43" s="25" t="s">
        <v>33</v>
      </c>
      <c r="P43" s="33">
        <f>SQRT(J48/(3*9))</f>
        <v>3.0065825199250336E-2</v>
      </c>
      <c r="R43" s="16"/>
      <c r="T43" s="52">
        <v>1.6900000000000002</v>
      </c>
      <c r="U43" s="52">
        <v>1.7200000000000002</v>
      </c>
      <c r="V43" s="52">
        <v>1.7400000000000002</v>
      </c>
    </row>
    <row r="44" spans="1:22" x14ac:dyDescent="0.25">
      <c r="A44" s="27" t="s">
        <v>34</v>
      </c>
      <c r="B44" s="45">
        <v>3.59</v>
      </c>
      <c r="C44" s="45">
        <v>3.6100000000000003</v>
      </c>
      <c r="D44" s="45">
        <v>3.58</v>
      </c>
      <c r="E44" s="28">
        <f t="shared" si="16"/>
        <v>10.780000000000001</v>
      </c>
      <c r="F44" s="28">
        <f t="shared" si="17"/>
        <v>3.5933333333333337</v>
      </c>
      <c r="G44" s="28" t="s">
        <v>35</v>
      </c>
      <c r="H44" s="28">
        <f>D38-1</f>
        <v>17</v>
      </c>
      <c r="I44" s="28">
        <f>B63</f>
        <v>3.273259259259703</v>
      </c>
      <c r="J44" s="28">
        <f t="shared" ref="J44:J48" si="18">I44/H44</f>
        <v>0.19254466230939429</v>
      </c>
      <c r="K44" s="28">
        <f>J44/$J$16</f>
        <v>20.292523879504262</v>
      </c>
      <c r="L44" s="28">
        <f>FINV(0.05,H44,$H$16)</f>
        <v>1.9332068318040869</v>
      </c>
      <c r="M44" s="34" t="str">
        <f t="shared" ref="M44" si="19">IF(K44&gt;=L44, "S", "NS")</f>
        <v>S</v>
      </c>
      <c r="N44" s="25" t="s">
        <v>36</v>
      </c>
      <c r="O44" s="25" t="s">
        <v>37</v>
      </c>
      <c r="P44" s="33">
        <f>SQRT((2*J48)/(3*9))*L49</f>
        <v>8.6410015863167405E-2</v>
      </c>
      <c r="R44" s="16"/>
      <c r="T44" s="52">
        <v>1.7800000000000002</v>
      </c>
      <c r="U44" s="52">
        <v>1.6700000000000002</v>
      </c>
      <c r="V44" s="52">
        <v>1.7800000000000002</v>
      </c>
    </row>
    <row r="45" spans="1:22" x14ac:dyDescent="0.25">
      <c r="A45" s="27" t="s">
        <v>38</v>
      </c>
      <c r="B45" s="45">
        <v>3.7300000000000004</v>
      </c>
      <c r="C45" s="45">
        <v>3.37</v>
      </c>
      <c r="D45" s="45">
        <v>3.88</v>
      </c>
      <c r="E45" s="28">
        <f t="shared" si="16"/>
        <v>10.98</v>
      </c>
      <c r="F45" s="28">
        <f t="shared" si="17"/>
        <v>3.66</v>
      </c>
      <c r="G45" s="28" t="s">
        <v>39</v>
      </c>
      <c r="H45" s="28">
        <f>B37-1</f>
        <v>1</v>
      </c>
      <c r="I45" s="28">
        <f>(SUM(E41:E49)^2+SUM(E50:E58)^2)/27-B61</f>
        <v>2.6489185185187125</v>
      </c>
      <c r="J45" s="28">
        <f t="shared" si="18"/>
        <v>2.6489185185187125</v>
      </c>
      <c r="K45" s="28">
        <f>J45/$J$16</f>
        <v>279.1728508450031</v>
      </c>
      <c r="L45" s="28">
        <f>FINV(0.05,H45,$H$16)</f>
        <v>4.1300177456520188</v>
      </c>
      <c r="M45" s="28" t="str">
        <f>IF(K45&gt;=L45, "S", "NS")</f>
        <v>S</v>
      </c>
      <c r="N45" s="21"/>
      <c r="O45" s="30">
        <v>1</v>
      </c>
      <c r="P45" s="33">
        <f>(F41+F50)/2</f>
        <v>3.2250000000000005</v>
      </c>
      <c r="Q45" s="31" t="e">
        <f>RANK(P45,P$109:P$117,0)</f>
        <v>#N/A</v>
      </c>
      <c r="R45" s="35">
        <v>9</v>
      </c>
      <c r="T45" s="52">
        <v>1.6500000000000001</v>
      </c>
      <c r="U45" s="52">
        <v>1.62</v>
      </c>
      <c r="V45" s="52">
        <v>1.62</v>
      </c>
    </row>
    <row r="46" spans="1:22" x14ac:dyDescent="0.25">
      <c r="A46" s="27" t="s">
        <v>40</v>
      </c>
      <c r="B46" s="45">
        <v>3.84</v>
      </c>
      <c r="C46" s="45">
        <v>3.28</v>
      </c>
      <c r="D46" s="45">
        <v>4.38</v>
      </c>
      <c r="E46" s="28">
        <f t="shared" si="16"/>
        <v>11.5</v>
      </c>
      <c r="F46" s="28">
        <f t="shared" si="17"/>
        <v>3.8333333333333335</v>
      </c>
      <c r="G46" s="28" t="s">
        <v>41</v>
      </c>
      <c r="H46" s="28">
        <f>B38-1</f>
        <v>8</v>
      </c>
      <c r="I46" s="28">
        <f>((E41+E50)^2+(E42+E51)^2+(E43+E52)^2+(E44+E53)^2+(E45+E54)^2+(E46+E55)^2+(E47+E56)^2+(E48+E57)^2+(E49+E58)^2/6)-B61</f>
        <v>2830.1924592592604</v>
      </c>
      <c r="J46" s="28">
        <f t="shared" si="18"/>
        <v>353.77405740740755</v>
      </c>
      <c r="K46" s="28">
        <f>J46/$J$16</f>
        <v>37284.692402188011</v>
      </c>
      <c r="L46" s="28">
        <f>FINV(0.05,H46,$H$16)</f>
        <v>2.2253399674380931</v>
      </c>
      <c r="M46" s="28" t="str">
        <f>IF(K46&gt;=L46, "S", "NS")</f>
        <v>S</v>
      </c>
      <c r="N46" s="21"/>
      <c r="O46" s="30">
        <v>2</v>
      </c>
      <c r="P46" s="33">
        <f t="shared" ref="P46:P53" si="20">(F42+F51)/2</f>
        <v>3.5049999999999999</v>
      </c>
      <c r="Q46" s="31" t="e">
        <f t="shared" ref="Q46:Q53" si="21">RANK(P46,P$109:P$117,0)</f>
        <v>#N/A</v>
      </c>
      <c r="R46" s="37">
        <v>5</v>
      </c>
      <c r="T46" s="52">
        <v>1.37</v>
      </c>
      <c r="U46" s="52">
        <v>1.3900000000000001</v>
      </c>
      <c r="V46" s="52">
        <v>1.3800000000000001</v>
      </c>
    </row>
    <row r="47" spans="1:22" x14ac:dyDescent="0.25">
      <c r="A47" s="27" t="s">
        <v>42</v>
      </c>
      <c r="B47" s="45">
        <v>3.62</v>
      </c>
      <c r="C47" s="45">
        <v>3.6500000000000004</v>
      </c>
      <c r="D47" s="45">
        <v>3.67</v>
      </c>
      <c r="E47" s="28">
        <f t="shared" si="16"/>
        <v>10.940000000000001</v>
      </c>
      <c r="F47" s="28">
        <f t="shared" si="17"/>
        <v>3.6466666666666669</v>
      </c>
      <c r="G47" s="38" t="s">
        <v>43</v>
      </c>
      <c r="H47" s="28">
        <f>H45*H46</f>
        <v>8</v>
      </c>
      <c r="I47" s="28">
        <f>I44-(I45+I46)</f>
        <v>-2829.5681185185194</v>
      </c>
      <c r="J47" s="28">
        <f t="shared" si="18"/>
        <v>-353.69601481481493</v>
      </c>
      <c r="K47" s="39">
        <f>J47/$J$16</f>
        <v>-37276.467395299689</v>
      </c>
      <c r="L47" s="28">
        <f>FINV(0.05,H47,$H$16)</f>
        <v>2.2253399674380931</v>
      </c>
      <c r="M47" s="28" t="str">
        <f t="shared" ref="M47" si="22">IF(K47&gt;=L47, "S", "NS")</f>
        <v>NS</v>
      </c>
      <c r="N47" s="21"/>
      <c r="O47" s="30">
        <v>3</v>
      </c>
      <c r="P47" s="33">
        <f t="shared" si="20"/>
        <v>3.48</v>
      </c>
      <c r="Q47" s="31" t="e">
        <f t="shared" si="21"/>
        <v>#N/A</v>
      </c>
      <c r="R47" s="37">
        <v>2</v>
      </c>
      <c r="T47" s="52">
        <v>1.68</v>
      </c>
      <c r="U47" s="52">
        <v>1.6</v>
      </c>
      <c r="V47" s="52">
        <v>1.7</v>
      </c>
    </row>
    <row r="48" spans="1:22" x14ac:dyDescent="0.25">
      <c r="A48" s="27" t="s">
        <v>44</v>
      </c>
      <c r="B48" s="45">
        <v>3.71</v>
      </c>
      <c r="C48" s="45">
        <v>3.6</v>
      </c>
      <c r="D48" s="45">
        <v>3.71</v>
      </c>
      <c r="E48" s="28">
        <f t="shared" si="16"/>
        <v>11.02</v>
      </c>
      <c r="F48" s="28">
        <f t="shared" si="17"/>
        <v>3.6733333333333333</v>
      </c>
      <c r="G48" s="40" t="s">
        <v>45</v>
      </c>
      <c r="H48" s="28">
        <f>((B39-1)*(B37*B38-1))</f>
        <v>34</v>
      </c>
      <c r="I48" s="28">
        <f>D63</f>
        <v>0.82982962962910278</v>
      </c>
      <c r="J48" s="28">
        <f t="shared" si="18"/>
        <v>2.4406753812620668E-2</v>
      </c>
      <c r="O48" s="30">
        <v>4</v>
      </c>
      <c r="P48" s="33">
        <f t="shared" si="20"/>
        <v>3.3583333333333334</v>
      </c>
      <c r="Q48" s="31" t="e">
        <f t="shared" si="21"/>
        <v>#N/A</v>
      </c>
      <c r="R48" s="37">
        <v>7</v>
      </c>
      <c r="T48" s="52">
        <v>1.57</v>
      </c>
      <c r="U48" s="52">
        <v>1.6800000000000002</v>
      </c>
      <c r="V48" s="52">
        <v>1.51</v>
      </c>
    </row>
    <row r="49" spans="1:22" x14ac:dyDescent="0.25">
      <c r="A49" s="27" t="s">
        <v>46</v>
      </c>
      <c r="B49" s="45">
        <v>3.58</v>
      </c>
      <c r="C49" s="45">
        <v>3.55</v>
      </c>
      <c r="D49" s="45">
        <v>3.55</v>
      </c>
      <c r="E49" s="28">
        <f t="shared" si="16"/>
        <v>10.68</v>
      </c>
      <c r="F49" s="28">
        <f t="shared" si="17"/>
        <v>3.56</v>
      </c>
      <c r="G49" s="39" t="s">
        <v>20</v>
      </c>
      <c r="H49" s="28">
        <f>SUM(H43:H48)-H44</f>
        <v>53</v>
      </c>
      <c r="I49" s="28">
        <f>B62</f>
        <v>4.251192592592929</v>
      </c>
      <c r="K49" s="28" t="s">
        <v>47</v>
      </c>
      <c r="L49" s="16">
        <f>TINV(0.05,34)</f>
        <v>2.0322445093177191</v>
      </c>
      <c r="O49" s="30">
        <v>5</v>
      </c>
      <c r="P49" s="33">
        <f t="shared" si="20"/>
        <v>3.4783333333333335</v>
      </c>
      <c r="Q49" s="31" t="e">
        <f t="shared" si="21"/>
        <v>#N/A</v>
      </c>
      <c r="R49" s="35">
        <v>3</v>
      </c>
      <c r="T49" s="52">
        <v>1.4700000000000002</v>
      </c>
      <c r="U49" s="52">
        <v>1.5</v>
      </c>
      <c r="V49" s="52">
        <v>1.4200000000000002</v>
      </c>
    </row>
    <row r="50" spans="1:22" x14ac:dyDescent="0.25">
      <c r="A50" s="27" t="s">
        <v>48</v>
      </c>
      <c r="B50" s="45">
        <v>3.0300000000000002</v>
      </c>
      <c r="C50" s="45">
        <v>3.0500000000000003</v>
      </c>
      <c r="D50" s="45">
        <v>3.04</v>
      </c>
      <c r="E50" s="28">
        <f t="shared" si="16"/>
        <v>9.120000000000001</v>
      </c>
      <c r="F50" s="28">
        <f t="shared" si="17"/>
        <v>3.0400000000000005</v>
      </c>
      <c r="G50" s="42" t="s">
        <v>33</v>
      </c>
      <c r="H50" s="28">
        <f>SQRT(J48/3)</f>
        <v>9.0197475597751015E-2</v>
      </c>
      <c r="O50" s="30">
        <v>6</v>
      </c>
      <c r="P50" s="33">
        <f t="shared" si="20"/>
        <v>3.5950000000000002</v>
      </c>
      <c r="Q50" s="31" t="e">
        <f t="shared" si="21"/>
        <v>#N/A</v>
      </c>
      <c r="R50" s="37">
        <v>1</v>
      </c>
      <c r="T50" s="52">
        <v>1.58</v>
      </c>
      <c r="U50" s="52">
        <v>1.61</v>
      </c>
      <c r="V50" s="52">
        <v>1.72</v>
      </c>
    </row>
    <row r="51" spans="1:22" x14ac:dyDescent="0.25">
      <c r="A51" s="27" t="s">
        <v>49</v>
      </c>
      <c r="B51" s="45">
        <v>3.14</v>
      </c>
      <c r="C51" s="45">
        <v>3.21</v>
      </c>
      <c r="D51" s="45">
        <v>3.62</v>
      </c>
      <c r="E51" s="28">
        <f t="shared" si="16"/>
        <v>9.9699999999999989</v>
      </c>
      <c r="F51" s="28">
        <f t="shared" si="17"/>
        <v>3.3233333333333328</v>
      </c>
      <c r="G51" s="42" t="s">
        <v>37</v>
      </c>
      <c r="H51" s="28">
        <f>(SQRT((2*J48)/3))*L49</f>
        <v>0.25923004758950219</v>
      </c>
      <c r="O51" s="30">
        <v>7</v>
      </c>
      <c r="P51" s="33">
        <f t="shared" si="20"/>
        <v>3.3850000000000002</v>
      </c>
      <c r="Q51" s="31" t="e">
        <f t="shared" si="21"/>
        <v>#N/A</v>
      </c>
      <c r="R51" s="37">
        <v>6</v>
      </c>
      <c r="T51" s="52">
        <v>1.73</v>
      </c>
      <c r="U51" s="52">
        <v>1.7</v>
      </c>
      <c r="V51" s="52">
        <v>1.6600000000000001</v>
      </c>
    </row>
    <row r="52" spans="1:22" x14ac:dyDescent="0.25">
      <c r="A52" s="27" t="s">
        <v>50</v>
      </c>
      <c r="B52" s="45">
        <v>3.2300000000000004</v>
      </c>
      <c r="C52" s="45">
        <v>3.3400000000000003</v>
      </c>
      <c r="D52" s="45">
        <v>3.17</v>
      </c>
      <c r="E52" s="28">
        <f t="shared" si="16"/>
        <v>9.74</v>
      </c>
      <c r="F52" s="28">
        <f t="shared" si="17"/>
        <v>3.2466666666666666</v>
      </c>
      <c r="G52" s="42" t="s">
        <v>51</v>
      </c>
      <c r="H52" s="28">
        <f>((SQRT(J48))/F59)*100</f>
        <v>4.5675349021586191</v>
      </c>
      <c r="O52" s="30">
        <v>8</v>
      </c>
      <c r="P52" s="33">
        <f t="shared" si="20"/>
        <v>3.43</v>
      </c>
      <c r="Q52" s="31" t="e">
        <f t="shared" si="21"/>
        <v>#N/A</v>
      </c>
      <c r="R52" s="35">
        <v>4</v>
      </c>
      <c r="T52" s="52">
        <v>1.45</v>
      </c>
      <c r="U52" s="52">
        <v>1.48</v>
      </c>
      <c r="V52" s="52">
        <v>1.46</v>
      </c>
    </row>
    <row r="53" spans="1:22" x14ac:dyDescent="0.25">
      <c r="A53" s="27" t="s">
        <v>52</v>
      </c>
      <c r="B53" s="45">
        <v>3.08</v>
      </c>
      <c r="C53" s="45">
        <v>3.21</v>
      </c>
      <c r="D53" s="45">
        <v>3.08</v>
      </c>
      <c r="E53" s="28">
        <f t="shared" si="16"/>
        <v>9.370000000000001</v>
      </c>
      <c r="F53" s="28">
        <f t="shared" si="17"/>
        <v>3.1233333333333335</v>
      </c>
      <c r="O53" s="30">
        <v>9</v>
      </c>
      <c r="P53" s="33">
        <f t="shared" si="20"/>
        <v>3.3266666666666671</v>
      </c>
      <c r="Q53" s="31" t="e">
        <f t="shared" si="21"/>
        <v>#N/A</v>
      </c>
      <c r="R53" s="37">
        <v>8</v>
      </c>
      <c r="T53" s="52">
        <v>1.55</v>
      </c>
      <c r="U53" s="52">
        <v>1.5</v>
      </c>
      <c r="V53" s="52">
        <v>1.53</v>
      </c>
    </row>
    <row r="54" spans="1:22" x14ac:dyDescent="0.25">
      <c r="A54" s="27" t="s">
        <v>53</v>
      </c>
      <c r="B54" s="45">
        <v>3.24</v>
      </c>
      <c r="C54" s="45">
        <v>3.2700000000000005</v>
      </c>
      <c r="D54" s="45">
        <v>3.38</v>
      </c>
      <c r="E54" s="28">
        <f t="shared" si="16"/>
        <v>9.89</v>
      </c>
      <c r="F54" s="28">
        <f t="shared" si="17"/>
        <v>3.2966666666666669</v>
      </c>
      <c r="H54" s="16" t="s">
        <v>54</v>
      </c>
      <c r="O54" s="25" t="s">
        <v>33</v>
      </c>
      <c r="P54" s="33">
        <f>SQRT(J48/(3*2))</f>
        <v>6.3779246641077883E-2</v>
      </c>
      <c r="Q54" s="31"/>
      <c r="T54" s="52">
        <v>1.37</v>
      </c>
      <c r="U54" s="52">
        <v>1.45</v>
      </c>
      <c r="V54" s="52">
        <v>1.48</v>
      </c>
    </row>
    <row r="55" spans="1:22" x14ac:dyDescent="0.25">
      <c r="A55" s="27" t="s">
        <v>55</v>
      </c>
      <c r="B55" s="45">
        <v>3.39</v>
      </c>
      <c r="C55" s="45">
        <v>3.3600000000000003</v>
      </c>
      <c r="D55" s="45">
        <v>3.3200000000000003</v>
      </c>
      <c r="E55" s="28">
        <f t="shared" si="16"/>
        <v>10.07</v>
      </c>
      <c r="F55" s="28">
        <f t="shared" si="17"/>
        <v>3.3566666666666669</v>
      </c>
      <c r="G55" s="43">
        <v>1</v>
      </c>
      <c r="H55" s="16">
        <f>F41-F50</f>
        <v>0.36999999999999966</v>
      </c>
      <c r="I55" s="46">
        <f>B41+0.5</f>
        <v>3.84</v>
      </c>
      <c r="J55" s="46">
        <f t="shared" ref="J55:K55" si="23">C41+0.5</f>
        <v>3.91</v>
      </c>
      <c r="K55" s="46">
        <f t="shared" si="23"/>
        <v>3.9800000000000004</v>
      </c>
      <c r="N55" s="25" t="s">
        <v>41</v>
      </c>
      <c r="O55" s="25" t="s">
        <v>37</v>
      </c>
      <c r="P55" s="33">
        <f>SQRT((2*J48)/(3*2))*L49</f>
        <v>0.18330332453784845</v>
      </c>
      <c r="Q55" s="31"/>
    </row>
    <row r="56" spans="1:22" x14ac:dyDescent="0.25">
      <c r="A56" s="27" t="s">
        <v>56</v>
      </c>
      <c r="B56" s="45">
        <v>3.1100000000000003</v>
      </c>
      <c r="C56" s="45">
        <v>3.14</v>
      </c>
      <c r="D56" s="45">
        <v>3.12</v>
      </c>
      <c r="E56" s="28">
        <f t="shared" si="16"/>
        <v>9.370000000000001</v>
      </c>
      <c r="F56" s="28">
        <f>E56/3</f>
        <v>3.1233333333333335</v>
      </c>
      <c r="G56" s="43">
        <v>2</v>
      </c>
      <c r="H56" s="16">
        <f t="shared" ref="H56:H63" si="24">F42-F51</f>
        <v>0.36333333333333417</v>
      </c>
      <c r="I56" s="46">
        <f t="shared" ref="I56:I63" si="25">B42+0.5</f>
        <v>4.08</v>
      </c>
      <c r="J56" s="46">
        <f t="shared" ref="J56:J63" si="26">C42+0.5</f>
        <v>4.21</v>
      </c>
      <c r="K56" s="46">
        <f t="shared" ref="K56:K63" si="27">D42+0.5</f>
        <v>4.2699999999999996</v>
      </c>
      <c r="Q56" s="31"/>
    </row>
    <row r="57" spans="1:22" x14ac:dyDescent="0.25">
      <c r="A57" s="27" t="s">
        <v>57</v>
      </c>
      <c r="B57" s="45">
        <v>3.21</v>
      </c>
      <c r="C57" s="45">
        <v>3.1000000000000005</v>
      </c>
      <c r="D57" s="45">
        <v>3.25</v>
      </c>
      <c r="E57" s="28">
        <f t="shared" si="16"/>
        <v>9.56</v>
      </c>
      <c r="F57" s="28">
        <f t="shared" ref="F57:F58" si="28">E57/3</f>
        <v>3.186666666666667</v>
      </c>
      <c r="G57" s="43">
        <v>3</v>
      </c>
      <c r="H57" s="16">
        <f t="shared" si="24"/>
        <v>0.46666666666666679</v>
      </c>
      <c r="I57" s="46">
        <f t="shared" si="25"/>
        <v>4.25</v>
      </c>
      <c r="J57" s="46">
        <f t="shared" si="26"/>
        <v>4.17</v>
      </c>
      <c r="K57" s="46">
        <f t="shared" si="27"/>
        <v>4.2200000000000006</v>
      </c>
    </row>
    <row r="58" spans="1:22" x14ac:dyDescent="0.25">
      <c r="A58" s="27" t="s">
        <v>58</v>
      </c>
      <c r="B58" s="45">
        <v>3.0300000000000002</v>
      </c>
      <c r="C58" s="45">
        <v>3.1100000000000003</v>
      </c>
      <c r="D58" s="45">
        <v>3.14</v>
      </c>
      <c r="E58" s="28">
        <f t="shared" si="16"/>
        <v>9.2800000000000011</v>
      </c>
      <c r="F58" s="28">
        <f t="shared" si="28"/>
        <v>3.0933333333333337</v>
      </c>
      <c r="G58" s="43">
        <v>4</v>
      </c>
      <c r="H58" s="16">
        <f t="shared" si="24"/>
        <v>0.4700000000000002</v>
      </c>
      <c r="I58" s="46">
        <f t="shared" si="25"/>
        <v>4.09</v>
      </c>
      <c r="J58" s="46">
        <f t="shared" si="26"/>
        <v>4.1100000000000003</v>
      </c>
      <c r="K58" s="46">
        <f t="shared" si="27"/>
        <v>4.08</v>
      </c>
    </row>
    <row r="59" spans="1:22" x14ac:dyDescent="0.25">
      <c r="A59" s="25" t="s">
        <v>20</v>
      </c>
      <c r="B59" s="28">
        <f>SUM(B41:B58)</f>
        <v>61.2</v>
      </c>
      <c r="C59" s="28">
        <f t="shared" ref="C59:D59" si="29">SUM(C41:C58)</f>
        <v>60.640000000000015</v>
      </c>
      <c r="D59" s="28">
        <f t="shared" si="29"/>
        <v>62.859999999999992</v>
      </c>
      <c r="E59" s="28">
        <f>SUM(E41:E58)</f>
        <v>184.69999999999996</v>
      </c>
      <c r="F59" s="28">
        <f>AVERAGE(B41:D58)</f>
        <v>3.4203703703703714</v>
      </c>
      <c r="G59" s="43">
        <v>5</v>
      </c>
      <c r="H59" s="16">
        <f t="shared" si="24"/>
        <v>0.36333333333333329</v>
      </c>
      <c r="I59" s="46">
        <f t="shared" si="25"/>
        <v>4.2300000000000004</v>
      </c>
      <c r="J59" s="46">
        <f t="shared" si="26"/>
        <v>3.87</v>
      </c>
      <c r="K59" s="46">
        <f t="shared" si="27"/>
        <v>4.38</v>
      </c>
    </row>
    <row r="60" spans="1:22" x14ac:dyDescent="0.25">
      <c r="A60" s="25" t="s">
        <v>11</v>
      </c>
      <c r="B60" s="28">
        <f>B59/18</f>
        <v>3.4000000000000004</v>
      </c>
      <c r="C60" s="28">
        <f>C59/18</f>
        <v>3.3688888888888897</v>
      </c>
      <c r="D60" s="28">
        <f>D59/18</f>
        <v>3.4922222222222219</v>
      </c>
      <c r="G60" s="43">
        <v>6</v>
      </c>
      <c r="H60" s="16">
        <f t="shared" si="24"/>
        <v>0.47666666666666657</v>
      </c>
      <c r="I60" s="46">
        <f t="shared" si="25"/>
        <v>4.34</v>
      </c>
      <c r="J60" s="46">
        <f t="shared" si="26"/>
        <v>3.78</v>
      </c>
      <c r="K60" s="46">
        <f t="shared" si="27"/>
        <v>4.88</v>
      </c>
    </row>
    <row r="61" spans="1:22" x14ac:dyDescent="0.25">
      <c r="A61" s="25" t="s">
        <v>59</v>
      </c>
      <c r="B61" s="28">
        <f>(E59*E59)/54</f>
        <v>631.74240740740709</v>
      </c>
      <c r="C61" s="28"/>
      <c r="D61" s="28"/>
      <c r="G61" s="43">
        <v>7</v>
      </c>
      <c r="H61" s="16">
        <f t="shared" si="24"/>
        <v>0.52333333333333343</v>
      </c>
      <c r="I61" s="46">
        <f t="shared" si="25"/>
        <v>4.12</v>
      </c>
      <c r="J61" s="46">
        <f t="shared" si="26"/>
        <v>4.1500000000000004</v>
      </c>
      <c r="K61" s="46">
        <f t="shared" si="27"/>
        <v>4.17</v>
      </c>
    </row>
    <row r="62" spans="1:22" x14ac:dyDescent="0.25">
      <c r="A62" s="25" t="s">
        <v>60</v>
      </c>
      <c r="B62" s="28">
        <f>SUMSQ(B41:D58)-B61</f>
        <v>4.251192592592929</v>
      </c>
      <c r="C62" s="25" t="s">
        <v>61</v>
      </c>
      <c r="D62" s="28">
        <f>(SUMSQ(B59:D59)/18)-B61</f>
        <v>0.14810370370412329</v>
      </c>
      <c r="G62" s="43">
        <v>8</v>
      </c>
      <c r="H62" s="16">
        <f t="shared" si="24"/>
        <v>0.48666666666666636</v>
      </c>
      <c r="I62" s="46">
        <f t="shared" si="25"/>
        <v>4.21</v>
      </c>
      <c r="J62" s="46">
        <f t="shared" si="26"/>
        <v>4.0999999999999996</v>
      </c>
      <c r="K62" s="46">
        <f t="shared" si="27"/>
        <v>4.21</v>
      </c>
    </row>
    <row r="63" spans="1:22" x14ac:dyDescent="0.25">
      <c r="A63" s="25" t="s">
        <v>62</v>
      </c>
      <c r="B63" s="28">
        <f>(SUMSQ(E41:E58)/3)-B61</f>
        <v>3.273259259259703</v>
      </c>
      <c r="C63" s="25" t="s">
        <v>63</v>
      </c>
      <c r="D63" s="28">
        <f>B62-B63-D62</f>
        <v>0.82982962962910278</v>
      </c>
      <c r="G63" s="43">
        <v>9</v>
      </c>
      <c r="H63" s="16">
        <f t="shared" si="24"/>
        <v>0.46666666666666634</v>
      </c>
      <c r="I63" s="46">
        <f t="shared" si="25"/>
        <v>4.08</v>
      </c>
      <c r="J63" s="46">
        <f t="shared" si="26"/>
        <v>4.05</v>
      </c>
      <c r="K63" s="46">
        <f t="shared" si="27"/>
        <v>4.05</v>
      </c>
    </row>
    <row r="64" spans="1:22" x14ac:dyDescent="0.25">
      <c r="I64" s="46">
        <f>B50-0.3</f>
        <v>2.7300000000000004</v>
      </c>
      <c r="J64" s="46">
        <f t="shared" ref="J64:K64" si="30">C50-0.3</f>
        <v>2.7500000000000004</v>
      </c>
      <c r="K64" s="46">
        <f t="shared" si="30"/>
        <v>2.74</v>
      </c>
    </row>
    <row r="65" spans="1:21" x14ac:dyDescent="0.25">
      <c r="I65" s="46">
        <f t="shared" ref="I65:I72" si="31">B51-0.3</f>
        <v>2.8400000000000003</v>
      </c>
      <c r="J65" s="46">
        <f t="shared" ref="J65:J72" si="32">C51-0.3</f>
        <v>2.91</v>
      </c>
      <c r="K65" s="46">
        <f t="shared" ref="K65:K72" si="33">D51-0.3</f>
        <v>3.3200000000000003</v>
      </c>
    </row>
    <row r="66" spans="1:21" x14ac:dyDescent="0.25">
      <c r="I66" s="46">
        <f t="shared" si="31"/>
        <v>2.9300000000000006</v>
      </c>
      <c r="J66" s="46">
        <f t="shared" si="32"/>
        <v>3.0400000000000005</v>
      </c>
      <c r="K66" s="46">
        <f t="shared" si="33"/>
        <v>2.87</v>
      </c>
    </row>
    <row r="67" spans="1:21" ht="15.75" x14ac:dyDescent="0.25">
      <c r="C67" s="18" t="s">
        <v>85</v>
      </c>
      <c r="I67" s="46">
        <f t="shared" si="31"/>
        <v>2.7800000000000002</v>
      </c>
      <c r="J67" s="46">
        <f t="shared" si="32"/>
        <v>2.91</v>
      </c>
      <c r="K67" s="46">
        <f t="shared" si="33"/>
        <v>2.7800000000000002</v>
      </c>
    </row>
    <row r="68" spans="1:21" x14ac:dyDescent="0.25">
      <c r="I68" s="46">
        <f t="shared" si="31"/>
        <v>2.9400000000000004</v>
      </c>
      <c r="J68" s="46">
        <f t="shared" si="32"/>
        <v>2.9700000000000006</v>
      </c>
      <c r="K68" s="46">
        <f t="shared" si="33"/>
        <v>3.08</v>
      </c>
    </row>
    <row r="69" spans="1:21" x14ac:dyDescent="0.25">
      <c r="A69" s="19" t="s">
        <v>13</v>
      </c>
      <c r="B69" s="20">
        <v>2</v>
      </c>
      <c r="C69" s="21"/>
      <c r="D69" s="21"/>
      <c r="E69" s="21"/>
      <c r="F69" s="21"/>
      <c r="G69" s="21"/>
      <c r="H69" s="21"/>
      <c r="I69" s="46">
        <f t="shared" si="31"/>
        <v>3.0900000000000003</v>
      </c>
      <c r="J69" s="46">
        <f t="shared" si="32"/>
        <v>3.0600000000000005</v>
      </c>
      <c r="K69" s="46">
        <f t="shared" si="33"/>
        <v>3.0200000000000005</v>
      </c>
      <c r="L69" s="21"/>
      <c r="M69" s="22"/>
      <c r="N69" s="22"/>
      <c r="O69" s="21"/>
      <c r="P69" s="21"/>
    </row>
    <row r="70" spans="1:21" x14ac:dyDescent="0.25">
      <c r="A70" s="19" t="s">
        <v>14</v>
      </c>
      <c r="B70" s="20">
        <v>9</v>
      </c>
      <c r="C70" s="21" t="s">
        <v>15</v>
      </c>
      <c r="D70" s="21">
        <v>18</v>
      </c>
      <c r="E70" s="21"/>
      <c r="F70" s="21"/>
      <c r="G70" s="21"/>
      <c r="H70" s="21"/>
      <c r="I70" s="46">
        <f t="shared" si="31"/>
        <v>2.8100000000000005</v>
      </c>
      <c r="J70" s="46">
        <f t="shared" si="32"/>
        <v>2.8400000000000003</v>
      </c>
      <c r="K70" s="46">
        <f t="shared" si="33"/>
        <v>2.8200000000000003</v>
      </c>
      <c r="L70" s="21"/>
      <c r="M70" s="22"/>
      <c r="N70" s="22"/>
      <c r="O70" s="21"/>
      <c r="P70" s="21"/>
    </row>
    <row r="71" spans="1:21" x14ac:dyDescent="0.25">
      <c r="A71" s="15" t="s">
        <v>16</v>
      </c>
      <c r="B71" s="23">
        <v>3</v>
      </c>
      <c r="I71" s="46">
        <f t="shared" si="31"/>
        <v>2.91</v>
      </c>
      <c r="J71" s="46">
        <f t="shared" si="32"/>
        <v>2.8000000000000007</v>
      </c>
      <c r="K71" s="46">
        <f t="shared" si="33"/>
        <v>2.95</v>
      </c>
    </row>
    <row r="72" spans="1:21" x14ac:dyDescent="0.25">
      <c r="A72" s="24" t="s">
        <v>0</v>
      </c>
      <c r="B72" s="25" t="s">
        <v>17</v>
      </c>
      <c r="C72" s="25" t="s">
        <v>18</v>
      </c>
      <c r="D72" s="25" t="s">
        <v>19</v>
      </c>
      <c r="E72" s="25" t="s">
        <v>20</v>
      </c>
      <c r="F72" s="25" t="s">
        <v>11</v>
      </c>
      <c r="I72" s="46">
        <f t="shared" si="31"/>
        <v>2.7300000000000004</v>
      </c>
      <c r="J72" s="46">
        <f t="shared" si="32"/>
        <v>2.8100000000000005</v>
      </c>
      <c r="K72" s="46">
        <f t="shared" si="33"/>
        <v>2.8400000000000003</v>
      </c>
      <c r="O72" s="16" t="s">
        <v>21</v>
      </c>
      <c r="S72" s="26">
        <v>2019</v>
      </c>
      <c r="T72" s="26"/>
      <c r="U72" s="26"/>
    </row>
    <row r="73" spans="1:21" x14ac:dyDescent="0.25">
      <c r="A73" s="27" t="s">
        <v>22</v>
      </c>
      <c r="B73" s="7">
        <v>3.1500000000000004</v>
      </c>
      <c r="C73" s="7">
        <v>3.2200000000000006</v>
      </c>
      <c r="D73" s="7">
        <v>3.2900000000000005</v>
      </c>
      <c r="E73" s="33">
        <f t="shared" ref="E73:E90" si="34">SUM(B73:D73)</f>
        <v>9.6600000000000019</v>
      </c>
      <c r="F73" s="33">
        <f>E73/3</f>
        <v>3.2200000000000006</v>
      </c>
      <c r="H73" s="29"/>
      <c r="I73" s="29"/>
      <c r="J73" s="29" t="s">
        <v>23</v>
      </c>
      <c r="K73" s="29"/>
      <c r="L73" s="29"/>
      <c r="M73" s="29"/>
      <c r="N73" s="29"/>
      <c r="O73" s="30">
        <v>1</v>
      </c>
      <c r="P73" s="33">
        <f>SUM(F73:F81)/9</f>
        <v>3.4518518518518526</v>
      </c>
      <c r="Q73" s="31" t="e">
        <f>RANK(P73,P$9:P$10,0)</f>
        <v>#N/A</v>
      </c>
      <c r="S73" s="26">
        <f>P73*1835</f>
        <v>6334.1481481481496</v>
      </c>
      <c r="T73" s="26"/>
      <c r="U73" s="26"/>
    </row>
    <row r="74" spans="1:21" x14ac:dyDescent="0.25">
      <c r="A74" s="27" t="s">
        <v>24</v>
      </c>
      <c r="B74" s="7">
        <v>3.3900000000000006</v>
      </c>
      <c r="C74" s="7">
        <v>3.5200000000000005</v>
      </c>
      <c r="D74" s="7">
        <v>3.58</v>
      </c>
      <c r="E74" s="33">
        <f t="shared" si="34"/>
        <v>10.490000000000002</v>
      </c>
      <c r="F74" s="33">
        <f t="shared" ref="F74:F87" si="35">E74/3</f>
        <v>3.4966666666666675</v>
      </c>
      <c r="G74" s="28"/>
      <c r="H74" s="25" t="s">
        <v>25</v>
      </c>
      <c r="I74" s="25" t="s">
        <v>26</v>
      </c>
      <c r="J74" s="25" t="s">
        <v>27</v>
      </c>
      <c r="K74" s="25" t="s">
        <v>28</v>
      </c>
      <c r="L74" s="25" t="s">
        <v>29</v>
      </c>
      <c r="M74" s="25" t="s">
        <v>30</v>
      </c>
      <c r="N74" s="32"/>
      <c r="O74" s="30">
        <v>2</v>
      </c>
      <c r="P74" s="33">
        <f>SUM(F82:F90)/9</f>
        <v>2.9722222222222228</v>
      </c>
      <c r="Q74" s="31" t="e">
        <f>RANK(P74,P$9:P$10,0)</f>
        <v>#N/A</v>
      </c>
      <c r="S74" s="26">
        <f>P74*1835</f>
        <v>5454.0277777777792</v>
      </c>
      <c r="T74" s="26"/>
      <c r="U74" s="26"/>
    </row>
    <row r="75" spans="1:21" x14ac:dyDescent="0.25">
      <c r="A75" s="27" t="s">
        <v>31</v>
      </c>
      <c r="B75" s="7">
        <v>3.7600000000000002</v>
      </c>
      <c r="C75" s="7">
        <v>3.2800000000000002</v>
      </c>
      <c r="D75" s="7">
        <v>3.5300000000000002</v>
      </c>
      <c r="E75" s="33">
        <f t="shared" si="34"/>
        <v>10.57</v>
      </c>
      <c r="F75" s="33">
        <f t="shared" si="35"/>
        <v>3.5233333333333334</v>
      </c>
      <c r="G75" s="28" t="s">
        <v>32</v>
      </c>
      <c r="H75" s="28">
        <f>B71-1</f>
        <v>2</v>
      </c>
      <c r="I75" s="28">
        <f>D94</f>
        <v>0.20878148148153741</v>
      </c>
      <c r="J75" s="28">
        <f>I75/H75</f>
        <v>0.10439074074076871</v>
      </c>
      <c r="K75" s="28">
        <f>J75/$J$16</f>
        <v>11.00187132623428</v>
      </c>
      <c r="L75" s="28">
        <f>FINV(0.05,H75,$H$16)</f>
        <v>3.275897990672394</v>
      </c>
      <c r="M75" s="28" t="str">
        <f>IF(K75&gt;=L75, "S", "NS")</f>
        <v>S</v>
      </c>
      <c r="N75" s="21"/>
      <c r="O75" s="25" t="s">
        <v>33</v>
      </c>
      <c r="P75" s="33">
        <f>SQRT(J80/(3*9))</f>
        <v>2.6434553235809823E-2</v>
      </c>
      <c r="S75" s="26"/>
      <c r="T75" s="26"/>
      <c r="U75" s="26"/>
    </row>
    <row r="76" spans="1:21" x14ac:dyDescent="0.25">
      <c r="A76" s="27" t="s">
        <v>34</v>
      </c>
      <c r="B76" s="7">
        <v>3.4000000000000004</v>
      </c>
      <c r="C76" s="7">
        <v>3.4200000000000004</v>
      </c>
      <c r="D76" s="7">
        <v>3.3900000000000006</v>
      </c>
      <c r="E76" s="33">
        <f t="shared" si="34"/>
        <v>10.210000000000001</v>
      </c>
      <c r="F76" s="33">
        <f t="shared" si="35"/>
        <v>3.4033333333333338</v>
      </c>
      <c r="G76" s="28" t="s">
        <v>35</v>
      </c>
      <c r="H76" s="28">
        <f>D70-1</f>
        <v>17</v>
      </c>
      <c r="I76" s="28">
        <f>B95</f>
        <v>3.7154092592593315</v>
      </c>
      <c r="J76" s="28">
        <f t="shared" ref="J76:J80" si="36">I76/H76</f>
        <v>0.2185534858387842</v>
      </c>
      <c r="K76" s="28">
        <f>J76/$J$16</f>
        <v>23.033626469509461</v>
      </c>
      <c r="L76" s="28">
        <f>FINV(0.05,H76,$H$16)</f>
        <v>1.9332068318040869</v>
      </c>
      <c r="M76" s="34" t="str">
        <f t="shared" ref="M76" si="37">IF(K76&gt;=L76, "S", "NS")</f>
        <v>S</v>
      </c>
      <c r="N76" s="25" t="s">
        <v>36</v>
      </c>
      <c r="O76" s="25" t="s">
        <v>37</v>
      </c>
      <c r="P76" s="33">
        <f>SQRT((2*J80)/(3*9))*L81</f>
        <v>7.5973639482844621E-2</v>
      </c>
      <c r="S76" s="26"/>
      <c r="T76" s="26"/>
      <c r="U76" s="26"/>
    </row>
    <row r="77" spans="1:21" x14ac:dyDescent="0.25">
      <c r="A77" s="27" t="s">
        <v>38</v>
      </c>
      <c r="B77" s="7">
        <v>3.5400000000000005</v>
      </c>
      <c r="C77" s="7">
        <v>3.4800000000000004</v>
      </c>
      <c r="D77" s="7">
        <v>3.3900000000000006</v>
      </c>
      <c r="E77" s="33">
        <f t="shared" si="34"/>
        <v>10.410000000000002</v>
      </c>
      <c r="F77" s="33">
        <f t="shared" si="35"/>
        <v>3.4700000000000006</v>
      </c>
      <c r="G77" s="28" t="s">
        <v>39</v>
      </c>
      <c r="H77" s="28">
        <f>B69-1</f>
        <v>1</v>
      </c>
      <c r="I77" s="28">
        <f>(SUM(E73:E81)^2+SUM(E82:E90)^2)/27-B93</f>
        <v>3.1056018518519295</v>
      </c>
      <c r="J77" s="28">
        <f t="shared" si="36"/>
        <v>3.1056018518519295</v>
      </c>
      <c r="K77" s="28">
        <f>J77/$J$16</f>
        <v>327.30328113522137</v>
      </c>
      <c r="L77" s="28">
        <f>FINV(0.05,H77,$H$16)</f>
        <v>4.1300177456520188</v>
      </c>
      <c r="M77" s="28" t="str">
        <f>IF(K77&gt;=L77, "S", "NS")</f>
        <v>S</v>
      </c>
      <c r="N77" s="21"/>
      <c r="O77" s="30">
        <v>1</v>
      </c>
      <c r="P77" s="33">
        <f>(F73+F82)/2</f>
        <v>3.0150000000000006</v>
      </c>
      <c r="Q77" s="31" t="e">
        <f>RANK(P77,P$13:P$21,0)</f>
        <v>#N/A</v>
      </c>
      <c r="R77" s="35">
        <v>9</v>
      </c>
      <c r="S77" s="36">
        <f>P77*1835</f>
        <v>5532.5250000000015</v>
      </c>
      <c r="T77" s="36"/>
      <c r="U77" s="36"/>
    </row>
    <row r="78" spans="1:21" x14ac:dyDescent="0.25">
      <c r="A78" s="27" t="s">
        <v>40</v>
      </c>
      <c r="B78" s="7">
        <v>3.6500000000000004</v>
      </c>
      <c r="C78" s="7">
        <v>3.5900000000000003</v>
      </c>
      <c r="D78" s="7">
        <v>3.6900000000000004</v>
      </c>
      <c r="E78" s="33">
        <f t="shared" si="34"/>
        <v>10.93</v>
      </c>
      <c r="F78" s="33">
        <f t="shared" si="35"/>
        <v>3.6433333333333331</v>
      </c>
      <c r="G78" s="28" t="s">
        <v>41</v>
      </c>
      <c r="H78" s="28">
        <f>B70-1</f>
        <v>8</v>
      </c>
      <c r="I78" s="28">
        <f>((E73+E82)^2+(E74+E83)^2+(E75+E84)^2+(E76+E85)^2+(E77+E86)^2+(E78+E87)^2+(E79+E88)^2+(E80+E89)^2+(E81+E90)^2/6)-B93</f>
        <v>2497.6371425925936</v>
      </c>
      <c r="J78" s="28">
        <f t="shared" si="36"/>
        <v>312.2046428240742</v>
      </c>
      <c r="K78" s="28">
        <f>J78/$J$16</f>
        <v>32903.639570228261</v>
      </c>
      <c r="L78" s="28">
        <f>FINV(0.05,H78,$H$16)</f>
        <v>2.2253399674380931</v>
      </c>
      <c r="M78" s="28" t="str">
        <f>IF(K78&gt;=L78, "S", "NS")</f>
        <v>S</v>
      </c>
      <c r="N78" s="21"/>
      <c r="O78" s="30">
        <v>2</v>
      </c>
      <c r="P78" s="33">
        <f t="shared" ref="P78:P85" si="38">(F74+F83)/2</f>
        <v>3.2933333333333339</v>
      </c>
      <c r="Q78" s="31" t="e">
        <f t="shared" ref="Q78:Q85" si="39">RANK(P78,P$13:P$21,0)</f>
        <v>#N/A</v>
      </c>
      <c r="R78" s="37">
        <v>5</v>
      </c>
      <c r="S78" s="36">
        <f t="shared" ref="S78:S85" si="40">P78*1835</f>
        <v>6043.2666666666673</v>
      </c>
      <c r="T78" s="26"/>
      <c r="U78" s="26"/>
    </row>
    <row r="79" spans="1:21" x14ac:dyDescent="0.25">
      <c r="A79" s="27" t="s">
        <v>42</v>
      </c>
      <c r="B79" s="7">
        <v>3.4300000000000006</v>
      </c>
      <c r="C79" s="7">
        <v>3.4600000000000004</v>
      </c>
      <c r="D79" s="7">
        <v>3.4800000000000004</v>
      </c>
      <c r="E79" s="33">
        <f t="shared" si="34"/>
        <v>10.370000000000001</v>
      </c>
      <c r="F79" s="33">
        <f t="shared" si="35"/>
        <v>3.456666666666667</v>
      </c>
      <c r="G79" s="38" t="s">
        <v>43</v>
      </c>
      <c r="H79" s="28">
        <f>H77*H78</f>
        <v>8</v>
      </c>
      <c r="I79" s="28">
        <f>I76-(I77+I78)</f>
        <v>-2497.0273351851865</v>
      </c>
      <c r="J79" s="28">
        <f t="shared" si="36"/>
        <v>-312.12841689814832</v>
      </c>
      <c r="K79" s="39">
        <f>J79/$J$16</f>
        <v>-32895.606024122462</v>
      </c>
      <c r="L79" s="28">
        <f>FINV(0.05,H79,$H$16)</f>
        <v>2.2253399674380931</v>
      </c>
      <c r="M79" s="28" t="str">
        <f t="shared" ref="M79" si="41">IF(K79&gt;=L79, "S", "NS")</f>
        <v>NS</v>
      </c>
      <c r="N79" s="21"/>
      <c r="O79" s="30">
        <v>3</v>
      </c>
      <c r="P79" s="33">
        <f t="shared" si="38"/>
        <v>3.2700000000000005</v>
      </c>
      <c r="Q79" s="31" t="e">
        <f t="shared" si="39"/>
        <v>#N/A</v>
      </c>
      <c r="R79" s="37">
        <v>2</v>
      </c>
      <c r="S79" s="36">
        <f t="shared" si="40"/>
        <v>6000.4500000000007</v>
      </c>
      <c r="T79" s="26"/>
      <c r="U79" s="26"/>
    </row>
    <row r="80" spans="1:21" x14ac:dyDescent="0.25">
      <c r="A80" s="27" t="s">
        <v>44</v>
      </c>
      <c r="B80" s="7">
        <v>3.5200000000000005</v>
      </c>
      <c r="C80" s="7">
        <v>3.21</v>
      </c>
      <c r="D80" s="7">
        <v>3.72</v>
      </c>
      <c r="E80" s="33">
        <f t="shared" si="34"/>
        <v>10.450000000000001</v>
      </c>
      <c r="F80" s="33">
        <f t="shared" si="35"/>
        <v>3.4833333333333338</v>
      </c>
      <c r="G80" s="40" t="s">
        <v>45</v>
      </c>
      <c r="H80" s="28">
        <f>((B71-1)*(B69*B70-1))</f>
        <v>34</v>
      </c>
      <c r="I80" s="28">
        <f>D95</f>
        <v>0.64148518518516084</v>
      </c>
      <c r="J80" s="28">
        <f t="shared" si="36"/>
        <v>1.8867211328975318E-2</v>
      </c>
      <c r="O80" s="30">
        <v>4</v>
      </c>
      <c r="P80" s="33">
        <f t="shared" si="38"/>
        <v>3.1650000000000005</v>
      </c>
      <c r="Q80" s="31" t="e">
        <f t="shared" si="39"/>
        <v>#N/A</v>
      </c>
      <c r="R80" s="37">
        <v>7</v>
      </c>
      <c r="S80" s="36">
        <f t="shared" si="40"/>
        <v>5807.7750000000005</v>
      </c>
      <c r="T80" s="26"/>
      <c r="U80" s="26"/>
    </row>
    <row r="81" spans="1:21" x14ac:dyDescent="0.25">
      <c r="A81" s="27" t="s">
        <v>46</v>
      </c>
      <c r="B81" s="7">
        <v>3.3900000000000006</v>
      </c>
      <c r="C81" s="7">
        <v>3.0600000000000005</v>
      </c>
      <c r="D81" s="7">
        <v>3.66</v>
      </c>
      <c r="E81" s="33">
        <f t="shared" si="34"/>
        <v>10.110000000000001</v>
      </c>
      <c r="F81" s="33">
        <f t="shared" si="35"/>
        <v>3.3700000000000006</v>
      </c>
      <c r="G81" s="39" t="s">
        <v>20</v>
      </c>
      <c r="H81" s="28">
        <f>SUM(H75:H80)-H76</f>
        <v>53</v>
      </c>
      <c r="I81" s="28">
        <f>B94</f>
        <v>4.5656759259260298</v>
      </c>
      <c r="K81" s="28" t="s">
        <v>47</v>
      </c>
      <c r="L81" s="16">
        <f>TINV(0.05,34)</f>
        <v>2.0322445093177191</v>
      </c>
      <c r="O81" s="30">
        <v>5</v>
      </c>
      <c r="P81" s="33">
        <f t="shared" si="38"/>
        <v>3.2683333333333335</v>
      </c>
      <c r="Q81" s="31" t="e">
        <f t="shared" si="39"/>
        <v>#N/A</v>
      </c>
      <c r="R81" s="35">
        <v>3</v>
      </c>
      <c r="S81" s="36">
        <f t="shared" si="40"/>
        <v>5997.3916666666673</v>
      </c>
      <c r="T81" s="41"/>
      <c r="U81" s="41"/>
    </row>
    <row r="82" spans="1:21" x14ac:dyDescent="0.25">
      <c r="A82" s="27" t="s">
        <v>48</v>
      </c>
      <c r="B82" s="7">
        <v>2.8000000000000007</v>
      </c>
      <c r="C82" s="7">
        <v>2.8200000000000003</v>
      </c>
      <c r="D82" s="7">
        <v>2.8100000000000005</v>
      </c>
      <c r="E82" s="33">
        <f t="shared" si="34"/>
        <v>8.4300000000000015</v>
      </c>
      <c r="F82" s="33">
        <f t="shared" si="35"/>
        <v>2.8100000000000005</v>
      </c>
      <c r="G82" s="42" t="s">
        <v>33</v>
      </c>
      <c r="H82" s="28">
        <f>SQRT(J80/3)</f>
        <v>7.9303659707429475E-2</v>
      </c>
      <c r="O82" s="30">
        <v>6</v>
      </c>
      <c r="P82" s="33">
        <f t="shared" si="38"/>
        <v>3.3850000000000002</v>
      </c>
      <c r="Q82" s="31" t="e">
        <f t="shared" si="39"/>
        <v>#N/A</v>
      </c>
      <c r="R82" s="37">
        <v>1</v>
      </c>
      <c r="S82" s="36">
        <f t="shared" si="40"/>
        <v>6211.4750000000004</v>
      </c>
      <c r="T82" s="41"/>
      <c r="U82" s="41"/>
    </row>
    <row r="83" spans="1:21" x14ac:dyDescent="0.25">
      <c r="A83" s="27" t="s">
        <v>49</v>
      </c>
      <c r="B83" s="7">
        <v>3.1100000000000003</v>
      </c>
      <c r="C83" s="7">
        <v>2.83</v>
      </c>
      <c r="D83" s="7">
        <v>3.33</v>
      </c>
      <c r="E83" s="33">
        <f t="shared" si="34"/>
        <v>9.27</v>
      </c>
      <c r="F83" s="33">
        <f t="shared" si="35"/>
        <v>3.09</v>
      </c>
      <c r="G83" s="42" t="s">
        <v>37</v>
      </c>
      <c r="H83" s="28">
        <f>(SQRT((2*J80)/3))*L81</f>
        <v>0.22792091844853385</v>
      </c>
      <c r="O83" s="30">
        <v>7</v>
      </c>
      <c r="P83" s="33">
        <f t="shared" si="38"/>
        <v>3.1750000000000007</v>
      </c>
      <c r="Q83" s="31" t="e">
        <f t="shared" si="39"/>
        <v>#N/A</v>
      </c>
      <c r="R83" s="37">
        <v>6</v>
      </c>
      <c r="S83" s="36">
        <f t="shared" si="40"/>
        <v>5826.1250000000009</v>
      </c>
      <c r="T83" s="41"/>
      <c r="U83" s="41"/>
    </row>
    <row r="84" spans="1:21" x14ac:dyDescent="0.25">
      <c r="A84" s="27" t="s">
        <v>50</v>
      </c>
      <c r="B84" s="7">
        <v>3.0000000000000004</v>
      </c>
      <c r="C84" s="7">
        <v>3.1100000000000003</v>
      </c>
      <c r="D84" s="7">
        <v>2.9400000000000004</v>
      </c>
      <c r="E84" s="33">
        <f t="shared" si="34"/>
        <v>9.0500000000000007</v>
      </c>
      <c r="F84" s="33">
        <f t="shared" si="35"/>
        <v>3.0166666666666671</v>
      </c>
      <c r="G84" s="42" t="s">
        <v>51</v>
      </c>
      <c r="H84" s="28">
        <f>((SQRT(J80))/F91)*100</f>
        <v>4.2763506851131252</v>
      </c>
      <c r="O84" s="30">
        <v>8</v>
      </c>
      <c r="P84" s="33">
        <f t="shared" si="38"/>
        <v>3.2200000000000006</v>
      </c>
      <c r="Q84" s="31" t="e">
        <f t="shared" si="39"/>
        <v>#N/A</v>
      </c>
      <c r="R84" s="35">
        <v>4</v>
      </c>
      <c r="S84" s="36">
        <f t="shared" si="40"/>
        <v>5908.7000000000007</v>
      </c>
      <c r="T84" s="41"/>
      <c r="U84" s="41"/>
    </row>
    <row r="85" spans="1:21" x14ac:dyDescent="0.25">
      <c r="A85" s="27" t="s">
        <v>52</v>
      </c>
      <c r="B85" s="7">
        <v>2.9000000000000004</v>
      </c>
      <c r="C85" s="7">
        <v>2.7300000000000004</v>
      </c>
      <c r="D85" s="7">
        <v>3.1500000000000004</v>
      </c>
      <c r="E85" s="33">
        <f t="shared" si="34"/>
        <v>8.7800000000000011</v>
      </c>
      <c r="F85" s="33">
        <f t="shared" si="35"/>
        <v>2.9266666666666672</v>
      </c>
      <c r="O85" s="30">
        <v>9</v>
      </c>
      <c r="P85" s="33">
        <f t="shared" si="38"/>
        <v>3.1166666666666671</v>
      </c>
      <c r="Q85" s="31" t="e">
        <f t="shared" si="39"/>
        <v>#N/A</v>
      </c>
      <c r="R85" s="37">
        <v>8</v>
      </c>
      <c r="S85" s="36">
        <f t="shared" si="40"/>
        <v>5719.0833333333339</v>
      </c>
      <c r="T85" s="41"/>
      <c r="U85" s="41"/>
    </row>
    <row r="86" spans="1:21" x14ac:dyDescent="0.25">
      <c r="A86" s="27" t="s">
        <v>53</v>
      </c>
      <c r="B86" s="7">
        <v>3.0100000000000007</v>
      </c>
      <c r="C86" s="7">
        <v>2.8400000000000003</v>
      </c>
      <c r="D86" s="7">
        <v>3.35</v>
      </c>
      <c r="E86" s="33">
        <f t="shared" si="34"/>
        <v>9.2000000000000011</v>
      </c>
      <c r="F86" s="33">
        <f t="shared" si="35"/>
        <v>3.0666666666666669</v>
      </c>
      <c r="H86" s="16" t="s">
        <v>54</v>
      </c>
      <c r="O86" s="25" t="s">
        <v>33</v>
      </c>
      <c r="P86" s="33">
        <f>SQRT(J80/(3*2))</f>
        <v>5.6076155552033755E-2</v>
      </c>
      <c r="Q86" s="31"/>
      <c r="S86" s="41"/>
      <c r="T86" s="41"/>
      <c r="U86" s="41"/>
    </row>
    <row r="87" spans="1:21" x14ac:dyDescent="0.25">
      <c r="A87" s="27" t="s">
        <v>55</v>
      </c>
      <c r="B87" s="7">
        <v>3.16</v>
      </c>
      <c r="C87" s="7">
        <v>3.1300000000000003</v>
      </c>
      <c r="D87" s="7">
        <v>3.0900000000000007</v>
      </c>
      <c r="E87" s="33">
        <f t="shared" si="34"/>
        <v>9.3800000000000026</v>
      </c>
      <c r="F87" s="33">
        <f t="shared" si="35"/>
        <v>3.1266666666666674</v>
      </c>
      <c r="G87" s="43">
        <v>1</v>
      </c>
      <c r="H87" s="16">
        <f>F73-F82</f>
        <v>0.41000000000000014</v>
      </c>
      <c r="I87" s="46">
        <f>B73+0.2</f>
        <v>3.3500000000000005</v>
      </c>
      <c r="J87" s="46">
        <f t="shared" ref="J87:K87" si="42">C73+0.2</f>
        <v>3.4200000000000008</v>
      </c>
      <c r="K87" s="46">
        <f t="shared" si="42"/>
        <v>3.4900000000000007</v>
      </c>
      <c r="N87" s="25" t="s">
        <v>41</v>
      </c>
      <c r="O87" s="25" t="s">
        <v>37</v>
      </c>
      <c r="P87" s="33">
        <f>SQRT((2*J80)/(3*2))*L81</f>
        <v>0.16116442700922437</v>
      </c>
      <c r="Q87" s="31"/>
      <c r="S87" s="41"/>
      <c r="T87" s="41"/>
      <c r="U87" s="41"/>
    </row>
    <row r="88" spans="1:21" x14ac:dyDescent="0.25">
      <c r="A88" s="27" t="s">
        <v>56</v>
      </c>
      <c r="B88" s="7">
        <v>2.8800000000000003</v>
      </c>
      <c r="C88" s="7">
        <v>2.91</v>
      </c>
      <c r="D88" s="7">
        <v>2.8900000000000006</v>
      </c>
      <c r="E88" s="33">
        <f t="shared" si="34"/>
        <v>8.6800000000000015</v>
      </c>
      <c r="F88" s="33">
        <f>E88/3</f>
        <v>2.893333333333334</v>
      </c>
      <c r="G88" s="43">
        <v>2</v>
      </c>
      <c r="H88" s="16">
        <f t="shared" ref="H88:H95" si="43">F74-F83</f>
        <v>0.40666666666666762</v>
      </c>
      <c r="I88" s="46">
        <f t="shared" ref="I88:I95" si="44">B74+0.2</f>
        <v>3.5900000000000007</v>
      </c>
      <c r="J88" s="46">
        <f t="shared" ref="J88:J95" si="45">C74+0.2</f>
        <v>3.7200000000000006</v>
      </c>
      <c r="K88" s="46">
        <f t="shared" ref="K88:K95" si="46">D74+0.2</f>
        <v>3.7800000000000002</v>
      </c>
      <c r="Q88" s="31"/>
      <c r="S88" s="41"/>
      <c r="T88" s="41"/>
      <c r="U88" s="41"/>
    </row>
    <row r="89" spans="1:21" x14ac:dyDescent="0.25">
      <c r="A89" s="27" t="s">
        <v>57</v>
      </c>
      <c r="B89" s="7">
        <v>2.9800000000000004</v>
      </c>
      <c r="C89" s="7">
        <v>2.9300000000000006</v>
      </c>
      <c r="D89" s="7">
        <v>2.9600000000000004</v>
      </c>
      <c r="E89" s="33">
        <f t="shared" si="34"/>
        <v>8.870000000000001</v>
      </c>
      <c r="F89" s="33">
        <f t="shared" ref="F89:F90" si="47">E89/3</f>
        <v>2.956666666666667</v>
      </c>
      <c r="G89" s="43">
        <v>3</v>
      </c>
      <c r="H89" s="16">
        <f t="shared" si="43"/>
        <v>0.50666666666666638</v>
      </c>
      <c r="I89" s="46">
        <f t="shared" si="44"/>
        <v>3.9600000000000004</v>
      </c>
      <c r="J89" s="46">
        <f t="shared" si="45"/>
        <v>3.4800000000000004</v>
      </c>
      <c r="K89" s="46">
        <f t="shared" si="46"/>
        <v>3.7300000000000004</v>
      </c>
      <c r="S89" s="41"/>
      <c r="T89" s="41"/>
      <c r="U89" s="41"/>
    </row>
    <row r="90" spans="1:21" x14ac:dyDescent="0.25">
      <c r="A90" s="27" t="s">
        <v>58</v>
      </c>
      <c r="B90" s="7">
        <v>2.8000000000000007</v>
      </c>
      <c r="C90" s="7">
        <v>2.8800000000000003</v>
      </c>
      <c r="D90" s="7">
        <v>2.91</v>
      </c>
      <c r="E90" s="33">
        <f t="shared" si="34"/>
        <v>8.5900000000000016</v>
      </c>
      <c r="F90" s="33">
        <f t="shared" si="47"/>
        <v>2.8633333333333337</v>
      </c>
      <c r="G90" s="43">
        <v>4</v>
      </c>
      <c r="H90" s="16">
        <f t="shared" si="43"/>
        <v>0.47666666666666657</v>
      </c>
      <c r="I90" s="46">
        <f t="shared" si="44"/>
        <v>3.6000000000000005</v>
      </c>
      <c r="J90" s="46">
        <f t="shared" si="45"/>
        <v>3.6200000000000006</v>
      </c>
      <c r="K90" s="46">
        <f t="shared" si="46"/>
        <v>3.5900000000000007</v>
      </c>
    </row>
    <row r="91" spans="1:21" x14ac:dyDescent="0.25">
      <c r="A91" s="25" t="s">
        <v>20</v>
      </c>
      <c r="B91" s="28">
        <f>SUM(B73:B90)</f>
        <v>57.86999999999999</v>
      </c>
      <c r="C91" s="28">
        <f>SUM(C73:C90)</f>
        <v>56.420000000000016</v>
      </c>
      <c r="D91" s="28">
        <f>SUM(D73:D90)</f>
        <v>59.160000000000011</v>
      </c>
      <c r="E91" s="28">
        <f>SUM(E73:E90)</f>
        <v>173.45000000000002</v>
      </c>
      <c r="F91" s="28">
        <f>AVERAGE(B73:D90)</f>
        <v>3.2120370370370361</v>
      </c>
      <c r="G91" s="43">
        <v>5</v>
      </c>
      <c r="H91" s="16">
        <f t="shared" si="43"/>
        <v>0.40333333333333377</v>
      </c>
      <c r="I91" s="46">
        <f t="shared" si="44"/>
        <v>3.7400000000000007</v>
      </c>
      <c r="J91" s="46">
        <f t="shared" si="45"/>
        <v>3.6800000000000006</v>
      </c>
      <c r="K91" s="46">
        <f t="shared" si="46"/>
        <v>3.5900000000000007</v>
      </c>
    </row>
    <row r="92" spans="1:21" x14ac:dyDescent="0.25">
      <c r="A92" s="25" t="s">
        <v>11</v>
      </c>
      <c r="B92" s="28">
        <f>B91/18</f>
        <v>3.2149999999999994</v>
      </c>
      <c r="C92" s="28">
        <f>C91/18</f>
        <v>3.1344444444444455</v>
      </c>
      <c r="D92" s="28">
        <f>D91/18</f>
        <v>3.2866666666666671</v>
      </c>
      <c r="G92" s="43">
        <v>6</v>
      </c>
      <c r="H92" s="16">
        <f t="shared" si="43"/>
        <v>0.51666666666666572</v>
      </c>
      <c r="I92" s="46">
        <f t="shared" si="44"/>
        <v>3.8500000000000005</v>
      </c>
      <c r="J92" s="46">
        <f t="shared" si="45"/>
        <v>3.7900000000000005</v>
      </c>
      <c r="K92" s="46">
        <f t="shared" si="46"/>
        <v>3.8900000000000006</v>
      </c>
    </row>
    <row r="93" spans="1:21" x14ac:dyDescent="0.25">
      <c r="A93" s="25" t="s">
        <v>59</v>
      </c>
      <c r="B93" s="28">
        <f>(E91*E91)/54</f>
        <v>557.12782407407417</v>
      </c>
      <c r="C93" s="28"/>
      <c r="D93" s="28"/>
      <c r="G93" s="43">
        <v>7</v>
      </c>
      <c r="H93" s="16">
        <f t="shared" si="43"/>
        <v>0.56333333333333302</v>
      </c>
      <c r="I93" s="46">
        <f t="shared" si="44"/>
        <v>3.6300000000000008</v>
      </c>
      <c r="J93" s="46">
        <f t="shared" si="45"/>
        <v>3.6600000000000006</v>
      </c>
      <c r="K93" s="46">
        <f t="shared" si="46"/>
        <v>3.6800000000000006</v>
      </c>
    </row>
    <row r="94" spans="1:21" x14ac:dyDescent="0.25">
      <c r="A94" s="25" t="s">
        <v>60</v>
      </c>
      <c r="B94" s="28">
        <f>SUMSQ(B73:D90)-B93</f>
        <v>4.5656759259260298</v>
      </c>
      <c r="C94" s="25" t="s">
        <v>61</v>
      </c>
      <c r="D94" s="28">
        <f>(SUMSQ(B91:D91)/18)-B93</f>
        <v>0.20878148148153741</v>
      </c>
      <c r="G94" s="43">
        <v>8</v>
      </c>
      <c r="H94" s="16">
        <f t="shared" si="43"/>
        <v>0.52666666666666684</v>
      </c>
      <c r="I94" s="46">
        <f t="shared" si="44"/>
        <v>3.7200000000000006</v>
      </c>
      <c r="J94" s="46">
        <f t="shared" si="45"/>
        <v>3.41</v>
      </c>
      <c r="K94" s="46">
        <f t="shared" si="46"/>
        <v>3.9200000000000004</v>
      </c>
    </row>
    <row r="95" spans="1:21" x14ac:dyDescent="0.25">
      <c r="A95" s="25" t="s">
        <v>62</v>
      </c>
      <c r="B95" s="28">
        <f>(SUMSQ(E73:E90)/3)-B93</f>
        <v>3.7154092592593315</v>
      </c>
      <c r="C95" s="25" t="s">
        <v>63</v>
      </c>
      <c r="D95" s="28">
        <f>B94-B95-D94</f>
        <v>0.64148518518516084</v>
      </c>
      <c r="G95" s="43">
        <v>9</v>
      </c>
      <c r="H95" s="16">
        <f t="shared" si="43"/>
        <v>0.50666666666666682</v>
      </c>
      <c r="I95" s="46">
        <f t="shared" si="44"/>
        <v>3.5900000000000007</v>
      </c>
      <c r="J95" s="46">
        <f t="shared" si="45"/>
        <v>3.2600000000000007</v>
      </c>
      <c r="K95" s="46">
        <f t="shared" si="46"/>
        <v>3.8600000000000003</v>
      </c>
    </row>
    <row r="96" spans="1:21" x14ac:dyDescent="0.25">
      <c r="H96" s="27" t="s">
        <v>50</v>
      </c>
      <c r="I96" s="46">
        <f>B82+0.12</f>
        <v>2.9200000000000008</v>
      </c>
      <c r="J96" s="46">
        <f t="shared" ref="J96:K96" si="48">C82+0.12</f>
        <v>2.9400000000000004</v>
      </c>
      <c r="K96" s="46">
        <f t="shared" si="48"/>
        <v>2.9300000000000006</v>
      </c>
    </row>
    <row r="97" spans="1:18" x14ac:dyDescent="0.25">
      <c r="H97" s="27" t="s">
        <v>52</v>
      </c>
      <c r="I97" s="46">
        <f t="shared" ref="I97:I104" si="49">B83+0.12</f>
        <v>3.2300000000000004</v>
      </c>
      <c r="J97" s="46">
        <f t="shared" ref="J97:J104" si="50">C83+0.12</f>
        <v>2.95</v>
      </c>
      <c r="K97" s="46">
        <f t="shared" ref="K97:K104" si="51">D83+0.12</f>
        <v>3.45</v>
      </c>
    </row>
    <row r="98" spans="1:18" x14ac:dyDescent="0.25">
      <c r="H98" s="27" t="s">
        <v>53</v>
      </c>
      <c r="I98" s="46">
        <f t="shared" si="49"/>
        <v>3.1200000000000006</v>
      </c>
      <c r="J98" s="46">
        <f t="shared" si="50"/>
        <v>3.2300000000000004</v>
      </c>
      <c r="K98" s="46">
        <f t="shared" si="51"/>
        <v>3.0600000000000005</v>
      </c>
    </row>
    <row r="99" spans="1:18" ht="15.75" x14ac:dyDescent="0.25">
      <c r="C99" s="18" t="s">
        <v>79</v>
      </c>
      <c r="H99" s="27" t="s">
        <v>55</v>
      </c>
      <c r="I99" s="46">
        <f t="shared" si="49"/>
        <v>3.0200000000000005</v>
      </c>
      <c r="J99" s="46">
        <f t="shared" si="50"/>
        <v>2.8500000000000005</v>
      </c>
      <c r="K99" s="46">
        <f t="shared" si="51"/>
        <v>3.2700000000000005</v>
      </c>
    </row>
    <row r="100" spans="1:18" x14ac:dyDescent="0.25">
      <c r="H100" s="27" t="s">
        <v>56</v>
      </c>
      <c r="I100" s="46">
        <f t="shared" si="49"/>
        <v>3.1300000000000008</v>
      </c>
      <c r="J100" s="46">
        <f t="shared" si="50"/>
        <v>2.9600000000000004</v>
      </c>
      <c r="K100" s="46">
        <f t="shared" si="51"/>
        <v>3.47</v>
      </c>
    </row>
    <row r="101" spans="1:18" x14ac:dyDescent="0.25">
      <c r="A101" s="19" t="s">
        <v>13</v>
      </c>
      <c r="B101" s="20">
        <v>2</v>
      </c>
      <c r="C101" s="21"/>
      <c r="D101" s="21"/>
      <c r="E101" s="21"/>
      <c r="F101" s="21"/>
      <c r="G101" s="21"/>
      <c r="H101" s="27" t="s">
        <v>57</v>
      </c>
      <c r="I101" s="46">
        <f t="shared" si="49"/>
        <v>3.2800000000000002</v>
      </c>
      <c r="J101" s="46">
        <f t="shared" si="50"/>
        <v>3.2500000000000004</v>
      </c>
      <c r="K101" s="46">
        <f t="shared" si="51"/>
        <v>3.2100000000000009</v>
      </c>
      <c r="L101" s="21"/>
      <c r="M101" s="22"/>
      <c r="N101" s="22"/>
      <c r="O101" s="21"/>
      <c r="P101" s="21"/>
    </row>
    <row r="102" spans="1:18" x14ac:dyDescent="0.25">
      <c r="A102" s="19" t="s">
        <v>14</v>
      </c>
      <c r="B102" s="20">
        <v>9</v>
      </c>
      <c r="C102" s="21" t="s">
        <v>15</v>
      </c>
      <c r="D102" s="21">
        <v>18</v>
      </c>
      <c r="E102" s="21"/>
      <c r="F102" s="21"/>
      <c r="G102" s="21"/>
      <c r="H102" s="27" t="s">
        <v>58</v>
      </c>
      <c r="I102" s="46">
        <f t="shared" si="49"/>
        <v>3.0000000000000004</v>
      </c>
      <c r="J102" s="46">
        <f t="shared" si="50"/>
        <v>3.0300000000000002</v>
      </c>
      <c r="K102" s="46">
        <f t="shared" si="51"/>
        <v>3.0100000000000007</v>
      </c>
      <c r="L102" s="21"/>
      <c r="M102" s="22"/>
      <c r="N102" s="22"/>
      <c r="O102" s="21"/>
      <c r="P102" s="21"/>
    </row>
    <row r="103" spans="1:18" x14ac:dyDescent="0.25">
      <c r="A103" s="15" t="s">
        <v>16</v>
      </c>
      <c r="B103" s="23">
        <v>3</v>
      </c>
      <c r="I103" s="46">
        <f t="shared" si="49"/>
        <v>3.1000000000000005</v>
      </c>
      <c r="J103" s="46">
        <f t="shared" si="50"/>
        <v>3.0500000000000007</v>
      </c>
      <c r="K103" s="46">
        <f t="shared" si="51"/>
        <v>3.0800000000000005</v>
      </c>
    </row>
    <row r="104" spans="1:18" x14ac:dyDescent="0.25">
      <c r="A104" s="24" t="s">
        <v>0</v>
      </c>
      <c r="B104" s="25" t="s">
        <v>17</v>
      </c>
      <c r="C104" s="25" t="s">
        <v>18</v>
      </c>
      <c r="D104" s="25" t="s">
        <v>19</v>
      </c>
      <c r="E104" s="25" t="s">
        <v>20</v>
      </c>
      <c r="F104" s="25" t="s">
        <v>11</v>
      </c>
      <c r="I104" s="46">
        <f t="shared" si="49"/>
        <v>2.9200000000000008</v>
      </c>
      <c r="J104" s="46">
        <f t="shared" si="50"/>
        <v>3.0000000000000004</v>
      </c>
      <c r="K104" s="46">
        <f t="shared" si="51"/>
        <v>3.0300000000000002</v>
      </c>
      <c r="O104" s="16" t="s">
        <v>21</v>
      </c>
      <c r="R104" s="16"/>
    </row>
    <row r="105" spans="1:18" x14ac:dyDescent="0.25">
      <c r="A105" s="27" t="s">
        <v>22</v>
      </c>
      <c r="B105" s="45">
        <v>1.34</v>
      </c>
      <c r="C105" s="45">
        <v>1.31</v>
      </c>
      <c r="D105" s="45">
        <v>1.2799999999999998</v>
      </c>
      <c r="E105" s="28">
        <f>SUM(B105:D105)</f>
        <v>3.93</v>
      </c>
      <c r="F105" s="28">
        <f>E105/3</f>
        <v>1.31</v>
      </c>
      <c r="H105" s="29"/>
      <c r="I105" s="29"/>
      <c r="J105" s="29" t="s">
        <v>23</v>
      </c>
      <c r="K105" s="29"/>
      <c r="L105" s="29"/>
      <c r="M105" s="29"/>
      <c r="N105" s="29"/>
      <c r="O105" s="30">
        <v>1</v>
      </c>
      <c r="P105" s="33">
        <f>SUM(F105:F113)/9</f>
        <v>1.5422222222222222</v>
      </c>
      <c r="Q105" s="31">
        <f>RANK(P105,P$105:P$106,0)</f>
        <v>1</v>
      </c>
      <c r="R105" s="16"/>
    </row>
    <row r="106" spans="1:18" x14ac:dyDescent="0.25">
      <c r="A106" s="27" t="s">
        <v>24</v>
      </c>
      <c r="B106" s="45">
        <v>1.38</v>
      </c>
      <c r="C106" s="45">
        <v>1.71</v>
      </c>
      <c r="D106" s="45">
        <v>1.67</v>
      </c>
      <c r="E106" s="28">
        <f t="shared" ref="E106:E122" si="52">SUM(B106:D106)</f>
        <v>4.76</v>
      </c>
      <c r="F106" s="28">
        <f t="shared" ref="F106:F119" si="53">E106/3</f>
        <v>1.5866666666666667</v>
      </c>
      <c r="G106" s="28"/>
      <c r="H106" s="25" t="s">
        <v>25</v>
      </c>
      <c r="I106" s="25" t="s">
        <v>26</v>
      </c>
      <c r="J106" s="25" t="s">
        <v>27</v>
      </c>
      <c r="K106" s="25" t="s">
        <v>28</v>
      </c>
      <c r="L106" s="25" t="s">
        <v>29</v>
      </c>
      <c r="M106" s="25" t="s">
        <v>30</v>
      </c>
      <c r="N106" s="32"/>
      <c r="O106" s="30">
        <v>2</v>
      </c>
      <c r="P106" s="33">
        <f>SUM(F114:F122)/9</f>
        <v>1.4788888888888887</v>
      </c>
      <c r="Q106" s="31">
        <f>RANK(P106,P$105:P$106,0)</f>
        <v>2</v>
      </c>
      <c r="R106" s="16"/>
    </row>
    <row r="107" spans="1:18" x14ac:dyDescent="0.25">
      <c r="A107" s="27" t="s">
        <v>31</v>
      </c>
      <c r="B107" s="45">
        <v>1.61</v>
      </c>
      <c r="C107" s="45">
        <v>1.62</v>
      </c>
      <c r="D107" s="45">
        <v>1.62</v>
      </c>
      <c r="E107" s="28">
        <f t="shared" si="52"/>
        <v>4.8500000000000005</v>
      </c>
      <c r="F107" s="28">
        <f t="shared" si="53"/>
        <v>1.6166666666666669</v>
      </c>
      <c r="G107" s="28" t="s">
        <v>32</v>
      </c>
      <c r="H107" s="28">
        <f>B103-1</f>
        <v>2</v>
      </c>
      <c r="I107" s="28">
        <f>D126</f>
        <v>7.903333333332796E-2</v>
      </c>
      <c r="J107" s="28">
        <f>I107/H107</f>
        <v>3.951666666666398E-2</v>
      </c>
      <c r="K107" s="28">
        <f>J107/$J$16</f>
        <v>4.1647111498897385</v>
      </c>
      <c r="L107" s="28">
        <f>FINV(0.05,H107,$H$16)</f>
        <v>3.275897990672394</v>
      </c>
      <c r="M107" s="28" t="str">
        <f>IF(K107&gt;=L107, "S", "NS")</f>
        <v>S</v>
      </c>
      <c r="N107" s="21"/>
      <c r="O107" s="25" t="s">
        <v>33</v>
      </c>
      <c r="P107" s="33">
        <f>SQRT(J112/(3*9))</f>
        <v>1.938319016576449E-2</v>
      </c>
      <c r="R107" s="16"/>
    </row>
    <row r="108" spans="1:18" x14ac:dyDescent="0.25">
      <c r="A108" s="27" t="s">
        <v>34</v>
      </c>
      <c r="B108" s="45">
        <v>1.4900000000000002</v>
      </c>
      <c r="C108" s="45">
        <v>1.5100000000000002</v>
      </c>
      <c r="D108" s="45">
        <v>1.48</v>
      </c>
      <c r="E108" s="28">
        <f t="shared" si="52"/>
        <v>4.4800000000000004</v>
      </c>
      <c r="F108" s="28">
        <f t="shared" si="53"/>
        <v>1.4933333333333334</v>
      </c>
      <c r="G108" s="28" t="s">
        <v>35</v>
      </c>
      <c r="H108" s="28">
        <f>D102-1</f>
        <v>17</v>
      </c>
      <c r="I108" s="28">
        <f>B127</f>
        <v>0.67995000000000516</v>
      </c>
      <c r="J108" s="28">
        <f t="shared" ref="J108:J112" si="54">I108/H108</f>
        <v>3.9997058823529719E-2</v>
      </c>
      <c r="K108" s="28">
        <f>J108/$J$16</f>
        <v>4.2153402828805051</v>
      </c>
      <c r="L108" s="28">
        <f>FINV(0.05,H108,$H$16)</f>
        <v>1.9332068318040869</v>
      </c>
      <c r="M108" s="34" t="str">
        <f t="shared" ref="M108" si="55">IF(K108&gt;=L108, "S", "NS")</f>
        <v>S</v>
      </c>
      <c r="N108" s="25" t="s">
        <v>36</v>
      </c>
      <c r="O108" s="25" t="s">
        <v>37</v>
      </c>
      <c r="P108" s="33">
        <f>SQRT((2*J112)/(3*9))*L113</f>
        <v>5.5707826364408658E-2</v>
      </c>
      <c r="R108" s="16"/>
    </row>
    <row r="109" spans="1:18" x14ac:dyDescent="0.25">
      <c r="A109" s="27" t="s">
        <v>38</v>
      </c>
      <c r="B109" s="45">
        <v>1.63</v>
      </c>
      <c r="C109" s="45">
        <v>1.3699999999999997</v>
      </c>
      <c r="D109" s="45">
        <v>1.6799999999999997</v>
      </c>
      <c r="E109" s="28">
        <f t="shared" si="52"/>
        <v>4.68</v>
      </c>
      <c r="F109" s="28">
        <f t="shared" si="53"/>
        <v>1.5599999999999998</v>
      </c>
      <c r="G109" s="28" t="s">
        <v>39</v>
      </c>
      <c r="H109" s="28">
        <f>B101-1</f>
        <v>1</v>
      </c>
      <c r="I109" s="28">
        <f>(SUM(E105:E113)^2+SUM(E114:E122)^2)/27-B125</f>
        <v>5.4149999999978604E-2</v>
      </c>
      <c r="J109" s="28">
        <f t="shared" si="54"/>
        <v>5.4149999999978604E-2</v>
      </c>
      <c r="K109" s="28">
        <f>J109/$J$16</f>
        <v>5.7069365356336288</v>
      </c>
      <c r="L109" s="28">
        <f>FINV(0.05,H109,$H$16)</f>
        <v>4.1300177456520188</v>
      </c>
      <c r="M109" s="28" t="str">
        <f>IF(K109&gt;=L109, "S", "NS")</f>
        <v>S</v>
      </c>
      <c r="N109" s="21"/>
      <c r="O109" s="30">
        <v>1</v>
      </c>
      <c r="P109" s="33">
        <f>(F105+F114)/2</f>
        <v>1.3150000000000002</v>
      </c>
      <c r="Q109" s="31">
        <f>RANK(P109,P$109:P$117,0)</f>
        <v>9</v>
      </c>
      <c r="R109" s="35">
        <v>9</v>
      </c>
    </row>
    <row r="110" spans="1:18" x14ac:dyDescent="0.25">
      <c r="A110" s="27" t="s">
        <v>40</v>
      </c>
      <c r="B110" s="45">
        <v>1.7399999999999998</v>
      </c>
      <c r="C110" s="45">
        <v>1.6800000000000002</v>
      </c>
      <c r="D110" s="45">
        <v>1.7799999999999998</v>
      </c>
      <c r="E110" s="28">
        <f t="shared" si="52"/>
        <v>5.1999999999999993</v>
      </c>
      <c r="F110" s="28">
        <f t="shared" si="53"/>
        <v>1.7333333333333332</v>
      </c>
      <c r="G110" s="28" t="s">
        <v>41</v>
      </c>
      <c r="H110" s="28">
        <f>B102-1</f>
        <v>8</v>
      </c>
      <c r="I110" s="28">
        <f>((E105+E114)^2+(E106+E115)^2+(E107+E116)^2+(E108+E117)^2+(E109+E118)^2+(E110+E119)^2+(E111+E120)^2+(E112+E121)^2+(E113+E122)^2/6)-B125</f>
        <v>559.36074999999983</v>
      </c>
      <c r="J110" s="28">
        <f t="shared" si="54"/>
        <v>69.920093749999978</v>
      </c>
      <c r="K110" s="28">
        <f>J110/$J$16</f>
        <v>7368.9665299531134</v>
      </c>
      <c r="L110" s="28">
        <f>FINV(0.05,H110,$H$16)</f>
        <v>2.2253399674380931</v>
      </c>
      <c r="M110" s="28" t="str">
        <f>IF(K110&gt;=L110, "S", "NS")</f>
        <v>S</v>
      </c>
      <c r="N110" s="21"/>
      <c r="O110" s="30">
        <v>2</v>
      </c>
      <c r="P110" s="33">
        <f t="shared" ref="P110:P117" si="56">(F106+F115)/2</f>
        <v>1.5950000000000002</v>
      </c>
      <c r="Q110" s="31">
        <f t="shared" ref="Q110:Q117" si="57">RANK(P110,P$109:P$117,0)</f>
        <v>2</v>
      </c>
      <c r="R110" s="37">
        <v>5</v>
      </c>
    </row>
    <row r="111" spans="1:18" x14ac:dyDescent="0.25">
      <c r="A111" s="27" t="s">
        <v>42</v>
      </c>
      <c r="B111" s="45">
        <v>1.42</v>
      </c>
      <c r="C111" s="45">
        <v>1.5500000000000003</v>
      </c>
      <c r="D111" s="45">
        <v>1.67</v>
      </c>
      <c r="E111" s="28">
        <f t="shared" si="52"/>
        <v>4.6400000000000006</v>
      </c>
      <c r="F111" s="28">
        <f t="shared" si="53"/>
        <v>1.5466666666666669</v>
      </c>
      <c r="G111" s="38" t="s">
        <v>43</v>
      </c>
      <c r="H111" s="28">
        <f>H109*H110</f>
        <v>8</v>
      </c>
      <c r="I111" s="28">
        <f>I108-(I109+I110)</f>
        <v>-558.7349499999998</v>
      </c>
      <c r="J111" s="28">
        <f t="shared" si="54"/>
        <v>-69.841868749999975</v>
      </c>
      <c r="K111" s="39">
        <f>J111/$J$16</f>
        <v>-7360.7222989189468</v>
      </c>
      <c r="L111" s="28">
        <f>FINV(0.05,H111,$H$16)</f>
        <v>2.2253399674380931</v>
      </c>
      <c r="M111" s="28" t="str">
        <f t="shared" ref="M111" si="58">IF(K111&gt;=L111, "S", "NS")</f>
        <v>NS</v>
      </c>
      <c r="N111" s="21"/>
      <c r="O111" s="30">
        <v>3</v>
      </c>
      <c r="P111" s="33">
        <f t="shared" si="56"/>
        <v>1.5716666666666668</v>
      </c>
      <c r="Q111" s="31">
        <f t="shared" si="57"/>
        <v>3</v>
      </c>
      <c r="R111" s="37">
        <v>2</v>
      </c>
    </row>
    <row r="112" spans="1:18" x14ac:dyDescent="0.25">
      <c r="A112" s="27" t="s">
        <v>44</v>
      </c>
      <c r="B112" s="45">
        <v>1.6100000000000003</v>
      </c>
      <c r="C112" s="45">
        <v>1.5</v>
      </c>
      <c r="D112" s="45">
        <v>1.6100000000000003</v>
      </c>
      <c r="E112" s="28">
        <f t="shared" si="52"/>
        <v>4.7200000000000006</v>
      </c>
      <c r="F112" s="28">
        <f t="shared" si="53"/>
        <v>1.5733333333333335</v>
      </c>
      <c r="G112" s="40" t="s">
        <v>45</v>
      </c>
      <c r="H112" s="28">
        <f>((B103-1)*(B101*B102-1))</f>
        <v>34</v>
      </c>
      <c r="I112" s="28">
        <f>D127</f>
        <v>0.34490000000000975</v>
      </c>
      <c r="J112" s="28">
        <f t="shared" si="54"/>
        <v>1.0144117647059111E-2</v>
      </c>
      <c r="O112" s="30">
        <v>4</v>
      </c>
      <c r="P112" s="33">
        <f t="shared" si="56"/>
        <v>1.4483333333333335</v>
      </c>
      <c r="Q112" s="31">
        <f t="shared" si="57"/>
        <v>7</v>
      </c>
      <c r="R112" s="37">
        <v>7</v>
      </c>
    </row>
    <row r="113" spans="1:18" x14ac:dyDescent="0.25">
      <c r="A113" s="27" t="s">
        <v>46</v>
      </c>
      <c r="B113" s="45">
        <v>1.48</v>
      </c>
      <c r="C113" s="45">
        <v>1.3499999999999996</v>
      </c>
      <c r="D113" s="45">
        <v>1.5499999999999998</v>
      </c>
      <c r="E113" s="28">
        <f t="shared" si="52"/>
        <v>4.379999999999999</v>
      </c>
      <c r="F113" s="28">
        <f t="shared" si="53"/>
        <v>1.4599999999999997</v>
      </c>
      <c r="G113" s="39" t="s">
        <v>20</v>
      </c>
      <c r="H113" s="28">
        <f>SUM(H107:H112)-H108</f>
        <v>53</v>
      </c>
      <c r="I113" s="28">
        <f>B126</f>
        <v>1.1038833333333429</v>
      </c>
      <c r="K113" s="28" t="s">
        <v>47</v>
      </c>
      <c r="L113" s="16">
        <f>TINV(0.05,34)</f>
        <v>2.0322445093177191</v>
      </c>
      <c r="O113" s="30">
        <v>5</v>
      </c>
      <c r="P113" s="33">
        <f t="shared" si="56"/>
        <v>1.5683333333333331</v>
      </c>
      <c r="Q113" s="31">
        <f t="shared" si="57"/>
        <v>4</v>
      </c>
      <c r="R113" s="35">
        <v>3</v>
      </c>
    </row>
    <row r="114" spans="1:18" x14ac:dyDescent="0.25">
      <c r="A114" s="27" t="s">
        <v>48</v>
      </c>
      <c r="B114" s="45">
        <v>1.3100000000000003</v>
      </c>
      <c r="C114" s="45">
        <v>1.33</v>
      </c>
      <c r="D114" s="45">
        <v>1.32</v>
      </c>
      <c r="E114" s="28">
        <f t="shared" si="52"/>
        <v>3.9600000000000009</v>
      </c>
      <c r="F114" s="28">
        <f t="shared" si="53"/>
        <v>1.3200000000000003</v>
      </c>
      <c r="G114" s="42" t="s">
        <v>33</v>
      </c>
      <c r="H114" s="28">
        <f>SQRT(J112/3)</f>
        <v>5.8149570497293475E-2</v>
      </c>
      <c r="O114" s="30">
        <v>6</v>
      </c>
      <c r="P114" s="33">
        <f t="shared" si="56"/>
        <v>1.6850000000000001</v>
      </c>
      <c r="Q114" s="31">
        <f t="shared" si="57"/>
        <v>1</v>
      </c>
      <c r="R114" s="37">
        <v>1</v>
      </c>
    </row>
    <row r="115" spans="1:18" x14ac:dyDescent="0.25">
      <c r="A115" s="27" t="s">
        <v>49</v>
      </c>
      <c r="B115" s="45">
        <v>1.52</v>
      </c>
      <c r="C115" s="45">
        <v>1.55</v>
      </c>
      <c r="D115" s="45">
        <v>1.74</v>
      </c>
      <c r="E115" s="28">
        <f t="shared" si="52"/>
        <v>4.8100000000000005</v>
      </c>
      <c r="F115" s="28">
        <f t="shared" si="53"/>
        <v>1.6033333333333335</v>
      </c>
      <c r="G115" s="42" t="s">
        <v>37</v>
      </c>
      <c r="H115" s="28">
        <f>(SQRT((2*J112)/3))*L113</f>
        <v>0.16712347909322597</v>
      </c>
      <c r="O115" s="30">
        <v>7</v>
      </c>
      <c r="P115" s="33">
        <f t="shared" si="56"/>
        <v>1.4750000000000001</v>
      </c>
      <c r="Q115" s="31">
        <f t="shared" si="57"/>
        <v>6</v>
      </c>
      <c r="R115" s="37">
        <v>6</v>
      </c>
    </row>
    <row r="116" spans="1:18" x14ac:dyDescent="0.25">
      <c r="A116" s="27" t="s">
        <v>50</v>
      </c>
      <c r="B116" s="45">
        <v>1.51</v>
      </c>
      <c r="C116" s="45">
        <v>1.4200000000000002</v>
      </c>
      <c r="D116" s="45">
        <v>1.6500000000000001</v>
      </c>
      <c r="E116" s="28">
        <f t="shared" si="52"/>
        <v>4.58</v>
      </c>
      <c r="F116" s="28">
        <f t="shared" si="53"/>
        <v>1.5266666666666666</v>
      </c>
      <c r="G116" s="42" t="s">
        <v>51</v>
      </c>
      <c r="H116" s="28">
        <f>((SQRT(J112))/F123)*100</f>
        <v>6.6676137907803215</v>
      </c>
      <c r="O116" s="30">
        <v>8</v>
      </c>
      <c r="P116" s="33">
        <f t="shared" si="56"/>
        <v>1.52</v>
      </c>
      <c r="Q116" s="31">
        <f t="shared" si="57"/>
        <v>5</v>
      </c>
      <c r="R116" s="35">
        <v>4</v>
      </c>
    </row>
    <row r="117" spans="1:18" x14ac:dyDescent="0.25">
      <c r="A117" s="27" t="s">
        <v>52</v>
      </c>
      <c r="B117" s="45">
        <v>1.4100000000000004</v>
      </c>
      <c r="C117" s="45">
        <v>1.4400000000000002</v>
      </c>
      <c r="D117" s="45">
        <v>1.36</v>
      </c>
      <c r="E117" s="28">
        <f t="shared" si="52"/>
        <v>4.2100000000000009</v>
      </c>
      <c r="F117" s="28">
        <f t="shared" si="53"/>
        <v>1.4033333333333335</v>
      </c>
      <c r="O117" s="30">
        <v>9</v>
      </c>
      <c r="P117" s="33">
        <f t="shared" si="56"/>
        <v>1.4166666666666665</v>
      </c>
      <c r="Q117" s="31">
        <f t="shared" si="57"/>
        <v>8</v>
      </c>
      <c r="R117" s="37">
        <v>8</v>
      </c>
    </row>
    <row r="118" spans="1:18" x14ac:dyDescent="0.25">
      <c r="A118" s="27" t="s">
        <v>53</v>
      </c>
      <c r="B118" s="45">
        <v>1.32</v>
      </c>
      <c r="C118" s="45">
        <v>1.7499999999999998</v>
      </c>
      <c r="D118" s="45">
        <v>1.66</v>
      </c>
      <c r="E118" s="28">
        <f t="shared" si="52"/>
        <v>4.7299999999999995</v>
      </c>
      <c r="F118" s="28">
        <f t="shared" si="53"/>
        <v>1.5766666666666664</v>
      </c>
      <c r="H118" s="27" t="s">
        <v>22</v>
      </c>
      <c r="I118" s="46">
        <f>B105-0.14</f>
        <v>1.2000000000000002</v>
      </c>
      <c r="J118" s="46">
        <f t="shared" ref="J118:K118" si="59">C105-0.14</f>
        <v>1.17</v>
      </c>
      <c r="K118" s="46">
        <f t="shared" si="59"/>
        <v>1.1399999999999997</v>
      </c>
      <c r="O118" s="25" t="s">
        <v>33</v>
      </c>
      <c r="P118" s="33">
        <f>SQRT(J112/(3*2))</f>
        <v>4.1117955621721415E-2</v>
      </c>
      <c r="Q118" s="31"/>
    </row>
    <row r="119" spans="1:18" x14ac:dyDescent="0.25">
      <c r="A119" s="27" t="s">
        <v>55</v>
      </c>
      <c r="B119" s="45">
        <v>1.6700000000000002</v>
      </c>
      <c r="C119" s="45">
        <v>1.4400000000000002</v>
      </c>
      <c r="D119" s="45">
        <v>1.8</v>
      </c>
      <c r="E119" s="28">
        <f t="shared" si="52"/>
        <v>4.91</v>
      </c>
      <c r="F119" s="28">
        <f t="shared" si="53"/>
        <v>1.6366666666666667</v>
      </c>
      <c r="H119" s="27" t="s">
        <v>24</v>
      </c>
      <c r="I119" s="46">
        <f t="shared" ref="I119:I126" si="60">B106-0.14</f>
        <v>1.2399999999999998</v>
      </c>
      <c r="J119" s="46">
        <f t="shared" ref="J119:J126" si="61">C106-0.14</f>
        <v>1.5699999999999998</v>
      </c>
      <c r="K119" s="46">
        <f t="shared" ref="K119:K126" si="62">D106-0.14</f>
        <v>1.5299999999999998</v>
      </c>
      <c r="N119" s="25" t="s">
        <v>41</v>
      </c>
      <c r="O119" s="25" t="s">
        <v>37</v>
      </c>
      <c r="P119" s="33">
        <f>SQRT((2*J112)/(3*2))*L113</f>
        <v>0.11817414536230829</v>
      </c>
      <c r="Q119" s="31"/>
    </row>
    <row r="120" spans="1:18" x14ac:dyDescent="0.25">
      <c r="A120" s="27" t="s">
        <v>56</v>
      </c>
      <c r="B120" s="45">
        <v>1.39</v>
      </c>
      <c r="C120" s="45">
        <v>1.4200000000000002</v>
      </c>
      <c r="D120" s="45">
        <v>1.4000000000000001</v>
      </c>
      <c r="E120" s="28">
        <f t="shared" si="52"/>
        <v>4.21</v>
      </c>
      <c r="F120" s="28">
        <f>E120/3</f>
        <v>1.4033333333333333</v>
      </c>
      <c r="H120" s="27" t="s">
        <v>31</v>
      </c>
      <c r="I120" s="46">
        <f t="shared" si="60"/>
        <v>1.4700000000000002</v>
      </c>
      <c r="J120" s="46">
        <f t="shared" si="61"/>
        <v>1.48</v>
      </c>
      <c r="K120" s="46">
        <f t="shared" si="62"/>
        <v>1.48</v>
      </c>
      <c r="Q120" s="31"/>
    </row>
    <row r="121" spans="1:18" x14ac:dyDescent="0.25">
      <c r="A121" s="27" t="s">
        <v>57</v>
      </c>
      <c r="B121" s="45">
        <v>1.49</v>
      </c>
      <c r="C121" s="45">
        <v>1.4400000000000002</v>
      </c>
      <c r="D121" s="45">
        <v>1.47</v>
      </c>
      <c r="E121" s="28">
        <f t="shared" si="52"/>
        <v>4.4000000000000004</v>
      </c>
      <c r="F121" s="28">
        <f t="shared" ref="F121:F122" si="63">E121/3</f>
        <v>1.4666666666666668</v>
      </c>
      <c r="H121" s="27" t="s">
        <v>34</v>
      </c>
      <c r="I121" s="46">
        <f t="shared" si="60"/>
        <v>1.35</v>
      </c>
      <c r="J121" s="46">
        <f t="shared" si="61"/>
        <v>1.37</v>
      </c>
      <c r="K121" s="46">
        <f t="shared" si="62"/>
        <v>1.3399999999999999</v>
      </c>
    </row>
    <row r="122" spans="1:18" x14ac:dyDescent="0.25">
      <c r="A122" s="27" t="s">
        <v>58</v>
      </c>
      <c r="B122" s="45">
        <v>1.3100000000000003</v>
      </c>
      <c r="C122" s="45">
        <v>1.39</v>
      </c>
      <c r="D122" s="45">
        <v>1.4200000000000002</v>
      </c>
      <c r="E122" s="28">
        <f t="shared" si="52"/>
        <v>4.12</v>
      </c>
      <c r="F122" s="28">
        <f t="shared" si="63"/>
        <v>1.3733333333333333</v>
      </c>
      <c r="H122" s="27" t="s">
        <v>38</v>
      </c>
      <c r="I122" s="46">
        <f t="shared" si="60"/>
        <v>1.4899999999999998</v>
      </c>
      <c r="J122" s="46">
        <f t="shared" si="61"/>
        <v>1.2299999999999995</v>
      </c>
      <c r="K122" s="46">
        <f t="shared" si="62"/>
        <v>1.5399999999999996</v>
      </c>
    </row>
    <row r="123" spans="1:18" x14ac:dyDescent="0.25">
      <c r="A123" s="25" t="s">
        <v>20</v>
      </c>
      <c r="B123" s="28">
        <f>SUM(B105:B122)</f>
        <v>26.630000000000003</v>
      </c>
      <c r="C123" s="28">
        <f t="shared" ref="C123:D123" si="64">SUM(C105:C122)</f>
        <v>26.780000000000008</v>
      </c>
      <c r="D123" s="28">
        <f t="shared" si="64"/>
        <v>28.159999999999997</v>
      </c>
      <c r="E123" s="28">
        <f>SUM(E105:E122)</f>
        <v>81.570000000000007</v>
      </c>
      <c r="F123" s="28">
        <f>AVERAGE(B105:D122)</f>
        <v>1.5105555555555554</v>
      </c>
      <c r="H123" s="27" t="s">
        <v>40</v>
      </c>
      <c r="I123" s="46">
        <f t="shared" si="60"/>
        <v>1.5999999999999996</v>
      </c>
      <c r="J123" s="46">
        <f t="shared" si="61"/>
        <v>1.54</v>
      </c>
      <c r="K123" s="46">
        <f t="shared" si="62"/>
        <v>1.6399999999999997</v>
      </c>
    </row>
    <row r="124" spans="1:18" x14ac:dyDescent="0.25">
      <c r="A124" s="25" t="s">
        <v>11</v>
      </c>
      <c r="B124" s="28">
        <f>B123/18</f>
        <v>1.4794444444444446</v>
      </c>
      <c r="C124" s="28">
        <f>C123/18</f>
        <v>1.4877777777777783</v>
      </c>
      <c r="D124" s="28">
        <f>D123/18</f>
        <v>1.5644444444444443</v>
      </c>
      <c r="H124" s="27" t="s">
        <v>42</v>
      </c>
      <c r="I124" s="46">
        <f t="shared" si="60"/>
        <v>1.2799999999999998</v>
      </c>
      <c r="J124" s="46">
        <f t="shared" si="61"/>
        <v>1.4100000000000001</v>
      </c>
      <c r="K124" s="46">
        <f t="shared" si="62"/>
        <v>1.5299999999999998</v>
      </c>
    </row>
    <row r="125" spans="1:18" x14ac:dyDescent="0.25">
      <c r="A125" s="25" t="s">
        <v>59</v>
      </c>
      <c r="B125" s="28">
        <f>(E123*E123)/54</f>
        <v>123.21601666666669</v>
      </c>
      <c r="C125" s="28"/>
      <c r="D125" s="28"/>
      <c r="H125" s="27" t="s">
        <v>44</v>
      </c>
      <c r="I125" s="46">
        <f t="shared" si="60"/>
        <v>1.4700000000000002</v>
      </c>
      <c r="J125" s="46">
        <f t="shared" si="61"/>
        <v>1.3599999999999999</v>
      </c>
      <c r="K125" s="46">
        <f t="shared" si="62"/>
        <v>1.4700000000000002</v>
      </c>
    </row>
    <row r="126" spans="1:18" x14ac:dyDescent="0.25">
      <c r="A126" s="25" t="s">
        <v>60</v>
      </c>
      <c r="B126" s="28">
        <f>SUMSQ(B105:D122)-B125</f>
        <v>1.1038833333333429</v>
      </c>
      <c r="C126" s="25" t="s">
        <v>61</v>
      </c>
      <c r="D126" s="28">
        <f>(SUMSQ(B123:D123)/18)-B125</f>
        <v>7.903333333332796E-2</v>
      </c>
      <c r="H126" s="27" t="s">
        <v>46</v>
      </c>
      <c r="I126" s="46">
        <f t="shared" si="60"/>
        <v>1.3399999999999999</v>
      </c>
      <c r="J126" s="46">
        <f t="shared" si="61"/>
        <v>1.2099999999999995</v>
      </c>
      <c r="K126" s="46">
        <f t="shared" si="62"/>
        <v>1.4099999999999997</v>
      </c>
    </row>
    <row r="127" spans="1:18" x14ac:dyDescent="0.25">
      <c r="A127" s="25" t="s">
        <v>62</v>
      </c>
      <c r="B127" s="28">
        <f>(SUMSQ(E105:E122)/3)-B125</f>
        <v>0.67995000000000516</v>
      </c>
      <c r="C127" s="25" t="s">
        <v>63</v>
      </c>
      <c r="D127" s="28">
        <f>B126-B127-D126</f>
        <v>0.34490000000000975</v>
      </c>
      <c r="H127" s="27" t="s">
        <v>48</v>
      </c>
      <c r="I127" s="46">
        <f>B114+0.11</f>
        <v>1.4200000000000004</v>
      </c>
      <c r="J127" s="46">
        <f t="shared" ref="J127:K127" si="65">C114+0.11</f>
        <v>1.4400000000000002</v>
      </c>
      <c r="K127" s="46">
        <f t="shared" si="65"/>
        <v>1.4300000000000002</v>
      </c>
    </row>
    <row r="128" spans="1:18" x14ac:dyDescent="0.25">
      <c r="H128" s="27" t="s">
        <v>49</v>
      </c>
      <c r="I128" s="46">
        <f t="shared" ref="I128:I135" si="66">B115+0.11</f>
        <v>1.6300000000000001</v>
      </c>
      <c r="J128" s="46">
        <f t="shared" ref="J128:J135" si="67">C115+0.11</f>
        <v>1.6600000000000001</v>
      </c>
      <c r="K128" s="46">
        <f t="shared" ref="K128:K135" si="68">D115+0.11</f>
        <v>1.85</v>
      </c>
    </row>
    <row r="129" spans="1:21" x14ac:dyDescent="0.25">
      <c r="H129" s="27" t="s">
        <v>50</v>
      </c>
      <c r="I129" s="46">
        <f t="shared" si="66"/>
        <v>1.62</v>
      </c>
      <c r="J129" s="46">
        <f t="shared" si="67"/>
        <v>1.5300000000000002</v>
      </c>
      <c r="K129" s="46">
        <f t="shared" si="68"/>
        <v>1.7600000000000002</v>
      </c>
    </row>
    <row r="130" spans="1:21" x14ac:dyDescent="0.25">
      <c r="H130" s="27" t="s">
        <v>52</v>
      </c>
      <c r="I130" s="46">
        <f t="shared" si="66"/>
        <v>1.5200000000000005</v>
      </c>
      <c r="J130" s="46">
        <f t="shared" si="67"/>
        <v>1.5500000000000003</v>
      </c>
      <c r="K130" s="46">
        <f t="shared" si="68"/>
        <v>1.4700000000000002</v>
      </c>
    </row>
    <row r="131" spans="1:21" x14ac:dyDescent="0.25">
      <c r="C131" s="17"/>
      <c r="H131" s="27" t="s">
        <v>53</v>
      </c>
      <c r="I131" s="46">
        <f t="shared" si="66"/>
        <v>1.4300000000000002</v>
      </c>
      <c r="J131" s="46">
        <f t="shared" si="67"/>
        <v>1.8599999999999999</v>
      </c>
      <c r="K131" s="46">
        <f t="shared" si="68"/>
        <v>1.77</v>
      </c>
    </row>
    <row r="132" spans="1:21" ht="15.75" x14ac:dyDescent="0.25">
      <c r="C132" s="50" t="s">
        <v>78</v>
      </c>
      <c r="H132" s="27" t="s">
        <v>55</v>
      </c>
      <c r="I132" s="46">
        <f t="shared" si="66"/>
        <v>1.7800000000000002</v>
      </c>
      <c r="J132" s="46">
        <f t="shared" si="67"/>
        <v>1.5500000000000003</v>
      </c>
      <c r="K132" s="46">
        <f t="shared" si="68"/>
        <v>1.9100000000000001</v>
      </c>
    </row>
    <row r="133" spans="1:21" x14ac:dyDescent="0.25">
      <c r="C133" s="51" t="s">
        <v>84</v>
      </c>
      <c r="H133" s="27" t="s">
        <v>56</v>
      </c>
      <c r="I133" s="46">
        <f t="shared" si="66"/>
        <v>1.5</v>
      </c>
      <c r="J133" s="46">
        <f t="shared" si="67"/>
        <v>1.5300000000000002</v>
      </c>
      <c r="K133" s="46">
        <f t="shared" si="68"/>
        <v>1.5100000000000002</v>
      </c>
    </row>
    <row r="134" spans="1:21" x14ac:dyDescent="0.25">
      <c r="A134" s="19" t="s">
        <v>13</v>
      </c>
      <c r="B134" s="20">
        <v>2</v>
      </c>
      <c r="C134" s="21"/>
      <c r="D134" s="21"/>
      <c r="E134" s="21"/>
      <c r="F134" s="21"/>
      <c r="G134" s="21"/>
      <c r="H134" s="27" t="s">
        <v>57</v>
      </c>
      <c r="I134" s="46">
        <f t="shared" si="66"/>
        <v>1.6</v>
      </c>
      <c r="J134" s="46">
        <f t="shared" si="67"/>
        <v>1.5500000000000003</v>
      </c>
      <c r="K134" s="46">
        <f t="shared" si="68"/>
        <v>1.58</v>
      </c>
      <c r="L134" s="21"/>
      <c r="M134" s="22"/>
      <c r="N134" s="22"/>
      <c r="O134" s="21"/>
      <c r="P134" s="21"/>
    </row>
    <row r="135" spans="1:21" x14ac:dyDescent="0.25">
      <c r="A135" s="19" t="s">
        <v>14</v>
      </c>
      <c r="B135" s="20">
        <v>9</v>
      </c>
      <c r="C135" s="21" t="s">
        <v>15</v>
      </c>
      <c r="D135" s="21">
        <v>18</v>
      </c>
      <c r="E135" s="21"/>
      <c r="F135" s="21"/>
      <c r="G135" s="21"/>
      <c r="H135" s="27" t="s">
        <v>58</v>
      </c>
      <c r="I135" s="46">
        <f t="shared" si="66"/>
        <v>1.4200000000000004</v>
      </c>
      <c r="J135" s="46">
        <f t="shared" si="67"/>
        <v>1.5</v>
      </c>
      <c r="K135" s="46">
        <f t="shared" si="68"/>
        <v>1.5300000000000002</v>
      </c>
      <c r="L135" s="21"/>
      <c r="M135" s="22"/>
      <c r="N135" s="22"/>
      <c r="O135" s="21"/>
      <c r="P135" s="21"/>
    </row>
    <row r="136" spans="1:21" x14ac:dyDescent="0.25">
      <c r="A136" s="15" t="s">
        <v>16</v>
      </c>
      <c r="B136" s="23">
        <v>3</v>
      </c>
    </row>
    <row r="137" spans="1:21" x14ac:dyDescent="0.25">
      <c r="A137" s="24" t="s">
        <v>0</v>
      </c>
      <c r="B137" s="25" t="s">
        <v>17</v>
      </c>
      <c r="C137" s="25" t="s">
        <v>18</v>
      </c>
      <c r="D137" s="25" t="s">
        <v>19</v>
      </c>
      <c r="E137" s="25" t="s">
        <v>20</v>
      </c>
      <c r="F137" s="25" t="s">
        <v>11</v>
      </c>
      <c r="O137" s="16" t="s">
        <v>21</v>
      </c>
      <c r="S137" s="26">
        <v>2019</v>
      </c>
      <c r="T137" s="26"/>
      <c r="U137" s="26"/>
    </row>
    <row r="138" spans="1:21" x14ac:dyDescent="0.25">
      <c r="A138" s="27" t="s">
        <v>22</v>
      </c>
      <c r="B138" s="7">
        <v>1.32</v>
      </c>
      <c r="C138" s="7">
        <v>1.35</v>
      </c>
      <c r="D138" s="7">
        <v>1.37</v>
      </c>
      <c r="E138" s="33">
        <f t="shared" ref="E138:E155" si="69">SUM(B138:D138)</f>
        <v>4.04</v>
      </c>
      <c r="F138" s="33">
        <f>E138/3</f>
        <v>1.3466666666666667</v>
      </c>
      <c r="H138" s="29"/>
      <c r="I138" s="29"/>
      <c r="J138" s="29" t="s">
        <v>23</v>
      </c>
      <c r="K138" s="29"/>
      <c r="L138" s="29"/>
      <c r="M138" s="29"/>
      <c r="N138" s="29"/>
      <c r="O138" s="30">
        <v>1</v>
      </c>
      <c r="P138" s="33">
        <f>SUM(F138:F146)/9</f>
        <v>1.5814814814814815</v>
      </c>
      <c r="Q138" s="31" t="e">
        <f>RANK(P138,P$9:P$10,0)</f>
        <v>#N/A</v>
      </c>
      <c r="S138" s="26">
        <f>P138*1835</f>
        <v>2902.0185185185187</v>
      </c>
      <c r="T138" s="26"/>
      <c r="U138" s="26"/>
    </row>
    <row r="139" spans="1:21" x14ac:dyDescent="0.25">
      <c r="A139" s="27" t="s">
        <v>24</v>
      </c>
      <c r="B139" s="7">
        <v>1.62</v>
      </c>
      <c r="C139" s="7">
        <v>1.65</v>
      </c>
      <c r="D139" s="7">
        <v>1.61</v>
      </c>
      <c r="E139" s="33">
        <f t="shared" si="69"/>
        <v>4.88</v>
      </c>
      <c r="F139" s="33">
        <f t="shared" ref="F139:F152" si="70">E139/3</f>
        <v>1.6266666666666667</v>
      </c>
      <c r="G139" s="28"/>
      <c r="H139" s="25" t="s">
        <v>25</v>
      </c>
      <c r="I139" s="25" t="s">
        <v>26</v>
      </c>
      <c r="J139" s="25" t="s">
        <v>27</v>
      </c>
      <c r="K139" s="25" t="s">
        <v>28</v>
      </c>
      <c r="L139" s="25" t="s">
        <v>29</v>
      </c>
      <c r="M139" s="25" t="s">
        <v>30</v>
      </c>
      <c r="N139" s="32"/>
      <c r="O139" s="30">
        <v>2</v>
      </c>
      <c r="P139" s="33">
        <f>SUM(F147:F155)/9</f>
        <v>1.4785185185185183</v>
      </c>
      <c r="Q139" s="31" t="e">
        <f>RANK(P139,P$9:P$10,0)</f>
        <v>#N/A</v>
      </c>
      <c r="S139" s="26">
        <f>P139*1835</f>
        <v>2713.0814814814812</v>
      </c>
      <c r="T139" s="26"/>
      <c r="U139" s="26"/>
    </row>
    <row r="140" spans="1:21" x14ac:dyDescent="0.25">
      <c r="A140" s="27" t="s">
        <v>31</v>
      </c>
      <c r="B140" s="7">
        <v>1.6900000000000002</v>
      </c>
      <c r="C140" s="7">
        <v>1.61</v>
      </c>
      <c r="D140" s="7">
        <v>1.6600000000000001</v>
      </c>
      <c r="E140" s="33">
        <f t="shared" si="69"/>
        <v>4.9600000000000009</v>
      </c>
      <c r="F140" s="33">
        <f t="shared" si="70"/>
        <v>1.6533333333333335</v>
      </c>
      <c r="G140" s="28" t="s">
        <v>32</v>
      </c>
      <c r="H140" s="28">
        <f>B136-1</f>
        <v>2</v>
      </c>
      <c r="I140" s="28">
        <f>D159</f>
        <v>9.8799999999997112E-2</v>
      </c>
      <c r="J140" s="28">
        <f>I140/H140</f>
        <v>4.9399999999998556E-2</v>
      </c>
      <c r="K140" s="28">
        <f>J140/$J$16</f>
        <v>5.2063280675974966</v>
      </c>
      <c r="L140" s="28">
        <f>FINV(0.05,H140,$H$16)</f>
        <v>3.275897990672394</v>
      </c>
      <c r="M140" s="28" t="str">
        <f>IF(K140&gt;=L140, "S", "NS")</f>
        <v>S</v>
      </c>
      <c r="N140" s="21"/>
      <c r="O140" s="25" t="s">
        <v>33</v>
      </c>
      <c r="P140" s="33">
        <f>SQRT(J145/(3*9))</f>
        <v>3.4005211271352552E-2</v>
      </c>
      <c r="S140" s="26"/>
      <c r="T140" s="26"/>
      <c r="U140" s="26"/>
    </row>
    <row r="141" spans="1:21" x14ac:dyDescent="0.25">
      <c r="A141" s="27" t="s">
        <v>34</v>
      </c>
      <c r="B141" s="7">
        <v>1.48</v>
      </c>
      <c r="C141" s="7">
        <v>1.5999999999999999</v>
      </c>
      <c r="D141" s="7">
        <v>1.52</v>
      </c>
      <c r="E141" s="33">
        <f t="shared" si="69"/>
        <v>4.5999999999999996</v>
      </c>
      <c r="F141" s="33">
        <f t="shared" si="70"/>
        <v>1.5333333333333332</v>
      </c>
      <c r="G141" s="28" t="s">
        <v>35</v>
      </c>
      <c r="H141" s="28">
        <f>D135-1</f>
        <v>17</v>
      </c>
      <c r="I141" s="28">
        <f>B160</f>
        <v>0.77366666666665651</v>
      </c>
      <c r="J141" s="28">
        <f t="shared" ref="J141:J145" si="71">I141/H141</f>
        <v>4.5509803921568032E-2</v>
      </c>
      <c r="K141" s="28">
        <f>J141/$J$16</f>
        <v>4.796335415136137</v>
      </c>
      <c r="L141" s="28">
        <f>FINV(0.05,H141,$H$16)</f>
        <v>1.9332068318040869</v>
      </c>
      <c r="M141" s="34" t="str">
        <f t="shared" ref="M141" si="72">IF(K141&gt;=L141, "S", "NS")</f>
        <v>S</v>
      </c>
      <c r="N141" s="25" t="s">
        <v>36</v>
      </c>
      <c r="O141" s="25" t="s">
        <v>37</v>
      </c>
      <c r="P141" s="33">
        <f>SQRT((2*J145)/(3*9))*L146</f>
        <v>9.7731920741067804E-2</v>
      </c>
      <c r="S141" s="26"/>
      <c r="T141" s="26"/>
      <c r="U141" s="26"/>
    </row>
    <row r="142" spans="1:21" x14ac:dyDescent="0.25">
      <c r="A142" s="27" t="s">
        <v>38</v>
      </c>
      <c r="B142" s="7">
        <v>1.6700000000000002</v>
      </c>
      <c r="C142" s="7">
        <v>1.51</v>
      </c>
      <c r="D142" s="7">
        <v>1.62</v>
      </c>
      <c r="E142" s="33">
        <f t="shared" si="69"/>
        <v>4.8000000000000007</v>
      </c>
      <c r="F142" s="33">
        <f t="shared" si="70"/>
        <v>1.6000000000000003</v>
      </c>
      <c r="G142" s="28" t="s">
        <v>39</v>
      </c>
      <c r="H142" s="28">
        <f>B134-1</f>
        <v>1</v>
      </c>
      <c r="I142" s="28">
        <f>(SUM(E138:E146)^2+SUM(E147:E155)^2)/27-B158</f>
        <v>0.14311851851847734</v>
      </c>
      <c r="J142" s="28">
        <f t="shared" si="71"/>
        <v>0.14311851851847734</v>
      </c>
      <c r="K142" s="28">
        <f>J142/$J$16</f>
        <v>15.083440484934057</v>
      </c>
      <c r="L142" s="28">
        <f>FINV(0.05,H142,$H$16)</f>
        <v>4.1300177456520188</v>
      </c>
      <c r="M142" s="28" t="str">
        <f>IF(K142&gt;=L142, "S", "NS")</f>
        <v>S</v>
      </c>
      <c r="N142" s="21"/>
      <c r="O142" s="30">
        <v>1</v>
      </c>
      <c r="P142" s="33">
        <f>(F138+F147)/2</f>
        <v>1.3333333333333335</v>
      </c>
      <c r="Q142" s="31" t="e">
        <f>RANK(P142,P$13:P$21,0)</f>
        <v>#N/A</v>
      </c>
      <c r="R142" s="35">
        <v>9</v>
      </c>
      <c r="S142" s="36">
        <f>P142*1835</f>
        <v>2446.666666666667</v>
      </c>
      <c r="T142" s="36"/>
      <c r="U142" s="36"/>
    </row>
    <row r="143" spans="1:21" x14ac:dyDescent="0.25">
      <c r="A143" s="27" t="s">
        <v>40</v>
      </c>
      <c r="B143" s="7">
        <v>1.98</v>
      </c>
      <c r="C143" s="7">
        <v>1.37</v>
      </c>
      <c r="D143" s="7">
        <v>1.97</v>
      </c>
      <c r="E143" s="33">
        <f t="shared" si="69"/>
        <v>5.32</v>
      </c>
      <c r="F143" s="33">
        <f t="shared" si="70"/>
        <v>1.7733333333333334</v>
      </c>
      <c r="G143" s="28" t="s">
        <v>41</v>
      </c>
      <c r="H143" s="28">
        <f>B135-1</f>
        <v>8</v>
      </c>
      <c r="I143" s="28">
        <f>((E138+E147)^2+(E139+E148)^2+(E140+E149)^2+(E141+E150)^2+(E142+E151)^2+(E143+E152)^2+(E144+E153)^2+(E145+E154)^2+(E146+E155)^2/6)-B158</f>
        <v>573.63546666666684</v>
      </c>
      <c r="J143" s="28">
        <f t="shared" si="71"/>
        <v>71.704433333333355</v>
      </c>
      <c r="K143" s="28">
        <f>J143/$J$16</f>
        <v>7557.0203205367989</v>
      </c>
      <c r="L143" s="28">
        <f>FINV(0.05,H143,$H$16)</f>
        <v>2.2253399674380931</v>
      </c>
      <c r="M143" s="28" t="str">
        <f>IF(K143&gt;=L143, "S", "NS")</f>
        <v>S</v>
      </c>
      <c r="N143" s="21"/>
      <c r="O143" s="30">
        <v>2</v>
      </c>
      <c r="P143" s="33">
        <f t="shared" ref="P143:P150" si="73">(F139+F148)/2</f>
        <v>1.6150000000000002</v>
      </c>
      <c r="Q143" s="31" t="e">
        <f t="shared" ref="Q143:Q150" si="74">RANK(P143,P$13:P$21,0)</f>
        <v>#N/A</v>
      </c>
      <c r="R143" s="37">
        <v>5</v>
      </c>
      <c r="S143" s="36">
        <f t="shared" ref="S143:S150" si="75">P143*1835</f>
        <v>2963.5250000000005</v>
      </c>
      <c r="T143" s="26"/>
      <c r="U143" s="26"/>
    </row>
    <row r="144" spans="1:21" x14ac:dyDescent="0.25">
      <c r="A144" s="27" t="s">
        <v>42</v>
      </c>
      <c r="B144" s="7">
        <v>1.56</v>
      </c>
      <c r="C144" s="7">
        <v>1.59</v>
      </c>
      <c r="D144" s="7">
        <v>1.61</v>
      </c>
      <c r="E144" s="33">
        <f t="shared" si="69"/>
        <v>4.7600000000000007</v>
      </c>
      <c r="F144" s="33">
        <f t="shared" si="70"/>
        <v>1.5866666666666669</v>
      </c>
      <c r="G144" s="38" t="s">
        <v>43</v>
      </c>
      <c r="H144" s="28">
        <f>H142*H143</f>
        <v>8</v>
      </c>
      <c r="I144" s="28">
        <f>I141-(I142+I143)</f>
        <v>-573.00491851851871</v>
      </c>
      <c r="J144" s="28">
        <f t="shared" si="71"/>
        <v>-71.625614814814838</v>
      </c>
      <c r="K144" s="39">
        <f>J144/$J$16</f>
        <v>-7548.7135378402518</v>
      </c>
      <c r="L144" s="28">
        <f>FINV(0.05,H144,$H$16)</f>
        <v>2.2253399674380931</v>
      </c>
      <c r="M144" s="28" t="str">
        <f t="shared" ref="M144" si="76">IF(K144&gt;=L144, "S", "NS")</f>
        <v>NS</v>
      </c>
      <c r="N144" s="21"/>
      <c r="O144" s="30">
        <v>3</v>
      </c>
      <c r="P144" s="33">
        <f t="shared" si="73"/>
        <v>1.59</v>
      </c>
      <c r="Q144" s="31" t="e">
        <f t="shared" si="74"/>
        <v>#N/A</v>
      </c>
      <c r="R144" s="37">
        <v>2</v>
      </c>
      <c r="S144" s="36">
        <f t="shared" si="75"/>
        <v>2917.65</v>
      </c>
      <c r="T144" s="26"/>
      <c r="U144" s="26"/>
    </row>
    <row r="145" spans="1:21" x14ac:dyDescent="0.25">
      <c r="A145" s="27" t="s">
        <v>44</v>
      </c>
      <c r="B145" s="7">
        <v>1.55</v>
      </c>
      <c r="C145" s="7">
        <v>1.64</v>
      </c>
      <c r="D145" s="7">
        <v>1.6500000000000001</v>
      </c>
      <c r="E145" s="33">
        <f t="shared" si="69"/>
        <v>4.84</v>
      </c>
      <c r="F145" s="33">
        <f t="shared" si="70"/>
        <v>1.6133333333333333</v>
      </c>
      <c r="G145" s="40" t="s">
        <v>45</v>
      </c>
      <c r="H145" s="28">
        <f>((B136-1)*(B134*B135-1))</f>
        <v>34</v>
      </c>
      <c r="I145" s="28">
        <f>D160</f>
        <v>1.0615333333333581</v>
      </c>
      <c r="J145" s="28">
        <f t="shared" si="71"/>
        <v>3.1221568627451707E-2</v>
      </c>
      <c r="O145" s="30">
        <v>4</v>
      </c>
      <c r="P145" s="33">
        <f t="shared" si="73"/>
        <v>1.4666666666666663</v>
      </c>
      <c r="Q145" s="31" t="e">
        <f t="shared" si="74"/>
        <v>#N/A</v>
      </c>
      <c r="R145" s="37">
        <v>7</v>
      </c>
      <c r="S145" s="36">
        <f t="shared" si="75"/>
        <v>2691.3333333333326</v>
      </c>
      <c r="T145" s="26"/>
      <c r="U145" s="26"/>
    </row>
    <row r="146" spans="1:21" x14ac:dyDescent="0.25">
      <c r="A146" s="27" t="s">
        <v>46</v>
      </c>
      <c r="B146" s="7">
        <v>1.72</v>
      </c>
      <c r="C146" s="7">
        <v>1.29</v>
      </c>
      <c r="D146" s="7">
        <v>1.49</v>
      </c>
      <c r="E146" s="33">
        <f t="shared" si="69"/>
        <v>4.5</v>
      </c>
      <c r="F146" s="33">
        <f t="shared" si="70"/>
        <v>1.5</v>
      </c>
      <c r="G146" s="39" t="s">
        <v>20</v>
      </c>
      <c r="H146" s="28">
        <f>SUM(H140:H145)-H141</f>
        <v>53</v>
      </c>
      <c r="I146" s="28">
        <f>B159</f>
        <v>1.9340000000000117</v>
      </c>
      <c r="K146" s="28" t="s">
        <v>47</v>
      </c>
      <c r="L146" s="16">
        <f>TINV(0.05,34)</f>
        <v>2.0322445093177191</v>
      </c>
      <c r="O146" s="30">
        <v>5</v>
      </c>
      <c r="P146" s="33">
        <f t="shared" si="73"/>
        <v>1.5883333333333334</v>
      </c>
      <c r="Q146" s="31" t="e">
        <f t="shared" si="74"/>
        <v>#N/A</v>
      </c>
      <c r="R146" s="35">
        <v>3</v>
      </c>
      <c r="S146" s="36">
        <f t="shared" si="75"/>
        <v>2914.5916666666667</v>
      </c>
      <c r="T146" s="41"/>
      <c r="U146" s="41"/>
    </row>
    <row r="147" spans="1:21" x14ac:dyDescent="0.25">
      <c r="A147" s="27" t="s">
        <v>48</v>
      </c>
      <c r="B147" s="7">
        <v>1.31</v>
      </c>
      <c r="C147" s="7">
        <v>1.1299999999999999</v>
      </c>
      <c r="D147" s="7">
        <v>1.52</v>
      </c>
      <c r="E147" s="33">
        <f t="shared" si="69"/>
        <v>3.96</v>
      </c>
      <c r="F147" s="33">
        <f t="shared" si="70"/>
        <v>1.32</v>
      </c>
      <c r="G147" s="42" t="s">
        <v>33</v>
      </c>
      <c r="H147" s="28">
        <f>SQRT(J145/3)</f>
        <v>0.10201563381405765</v>
      </c>
      <c r="O147" s="30">
        <v>6</v>
      </c>
      <c r="P147" s="33">
        <f t="shared" si="73"/>
        <v>1.7050000000000001</v>
      </c>
      <c r="Q147" s="31" t="e">
        <f t="shared" si="74"/>
        <v>#N/A</v>
      </c>
      <c r="R147" s="37">
        <v>1</v>
      </c>
      <c r="S147" s="36">
        <f t="shared" si="75"/>
        <v>3128.6750000000002</v>
      </c>
      <c r="T147" s="41"/>
      <c r="U147" s="41"/>
    </row>
    <row r="148" spans="1:21" x14ac:dyDescent="0.25">
      <c r="A148" s="27" t="s">
        <v>49</v>
      </c>
      <c r="B148" s="7">
        <v>1.42</v>
      </c>
      <c r="C148" s="7">
        <v>1.49</v>
      </c>
      <c r="D148" s="7">
        <v>1.9</v>
      </c>
      <c r="E148" s="33">
        <f t="shared" si="69"/>
        <v>4.8100000000000005</v>
      </c>
      <c r="F148" s="33">
        <f t="shared" si="70"/>
        <v>1.6033333333333335</v>
      </c>
      <c r="G148" s="42" t="s">
        <v>37</v>
      </c>
      <c r="H148" s="28">
        <f>(SQRT((2*J145)/3))*L146</f>
        <v>0.29319576222320337</v>
      </c>
      <c r="O148" s="30">
        <v>7</v>
      </c>
      <c r="P148" s="33">
        <f t="shared" si="73"/>
        <v>1.4950000000000001</v>
      </c>
      <c r="Q148" s="31" t="e">
        <f t="shared" si="74"/>
        <v>#N/A</v>
      </c>
      <c r="R148" s="37">
        <v>6</v>
      </c>
      <c r="S148" s="36">
        <f t="shared" si="75"/>
        <v>2743.3250000000003</v>
      </c>
      <c r="T148" s="41"/>
      <c r="U148" s="41"/>
    </row>
    <row r="149" spans="1:21" x14ac:dyDescent="0.25">
      <c r="A149" s="27" t="s">
        <v>50</v>
      </c>
      <c r="B149" s="7">
        <v>1.51</v>
      </c>
      <c r="C149" s="7">
        <v>1.82</v>
      </c>
      <c r="D149" s="7">
        <v>1.25</v>
      </c>
      <c r="E149" s="33">
        <f t="shared" si="69"/>
        <v>4.58</v>
      </c>
      <c r="F149" s="33">
        <f t="shared" si="70"/>
        <v>1.5266666666666666</v>
      </c>
      <c r="G149" s="42" t="s">
        <v>51</v>
      </c>
      <c r="H149" s="28">
        <f>((SQRT(J145))/F156)*100</f>
        <v>11.548775224332642</v>
      </c>
      <c r="O149" s="30">
        <v>8</v>
      </c>
      <c r="P149" s="33">
        <f t="shared" si="73"/>
        <v>1.54</v>
      </c>
      <c r="Q149" s="31" t="e">
        <f t="shared" si="74"/>
        <v>#N/A</v>
      </c>
      <c r="R149" s="35">
        <v>4</v>
      </c>
      <c r="S149" s="36">
        <f t="shared" si="75"/>
        <v>2825.9</v>
      </c>
      <c r="T149" s="41"/>
      <c r="U149" s="41"/>
    </row>
    <row r="150" spans="1:21" x14ac:dyDescent="0.25">
      <c r="A150" s="27" t="s">
        <v>52</v>
      </c>
      <c r="B150" s="7">
        <v>1.41</v>
      </c>
      <c r="C150" s="7">
        <v>1.39</v>
      </c>
      <c r="D150" s="7">
        <v>1.4</v>
      </c>
      <c r="E150" s="33">
        <f t="shared" si="69"/>
        <v>4.1999999999999993</v>
      </c>
      <c r="F150" s="33">
        <f t="shared" si="70"/>
        <v>1.3999999999999997</v>
      </c>
      <c r="O150" s="30">
        <v>9</v>
      </c>
      <c r="P150" s="33">
        <f t="shared" si="73"/>
        <v>1.4366666666666665</v>
      </c>
      <c r="Q150" s="31" t="e">
        <f t="shared" si="74"/>
        <v>#N/A</v>
      </c>
      <c r="R150" s="37">
        <v>8</v>
      </c>
      <c r="S150" s="36">
        <f t="shared" si="75"/>
        <v>2636.2833333333333</v>
      </c>
      <c r="T150" s="41"/>
      <c r="U150" s="41"/>
    </row>
    <row r="151" spans="1:21" x14ac:dyDescent="0.25">
      <c r="A151" s="27" t="s">
        <v>53</v>
      </c>
      <c r="B151" s="7">
        <v>1.72</v>
      </c>
      <c r="C151" s="7">
        <v>1.25</v>
      </c>
      <c r="D151" s="7">
        <v>1.76</v>
      </c>
      <c r="E151" s="33">
        <f t="shared" si="69"/>
        <v>4.7299999999999995</v>
      </c>
      <c r="F151" s="33">
        <f t="shared" si="70"/>
        <v>1.5766666666666664</v>
      </c>
      <c r="H151" s="16" t="s">
        <v>54</v>
      </c>
      <c r="O151" s="25" t="s">
        <v>33</v>
      </c>
      <c r="P151" s="33">
        <f>SQRT(J145/(3*2))</f>
        <v>7.213594645696382E-2</v>
      </c>
      <c r="Q151" s="31"/>
      <c r="S151" s="41"/>
      <c r="T151" s="41"/>
      <c r="U151" s="41"/>
    </row>
    <row r="152" spans="1:21" x14ac:dyDescent="0.25">
      <c r="A152" s="27" t="s">
        <v>55</v>
      </c>
      <c r="B152" s="7">
        <v>1.67</v>
      </c>
      <c r="C152" s="7">
        <v>1.44</v>
      </c>
      <c r="D152" s="7">
        <v>1.8</v>
      </c>
      <c r="E152" s="33">
        <f t="shared" si="69"/>
        <v>4.91</v>
      </c>
      <c r="F152" s="33">
        <f t="shared" si="70"/>
        <v>1.6366666666666667</v>
      </c>
      <c r="G152" s="43">
        <v>1</v>
      </c>
      <c r="H152" s="16">
        <f>F138-F147</f>
        <v>2.6666666666666616E-2</v>
      </c>
      <c r="I152" s="46">
        <f>B138-0.03</f>
        <v>1.29</v>
      </c>
      <c r="J152" s="46">
        <f t="shared" ref="J152:K160" si="77">C138-0.03</f>
        <v>1.32</v>
      </c>
      <c r="K152" s="46">
        <f t="shared" si="77"/>
        <v>1.34</v>
      </c>
      <c r="N152" s="25" t="s">
        <v>41</v>
      </c>
      <c r="O152" s="25" t="s">
        <v>37</v>
      </c>
      <c r="P152" s="33">
        <f>SQRT((2*J145)/(3*2))*L146</f>
        <v>0.20732071168318569</v>
      </c>
      <c r="Q152" s="31"/>
      <c r="S152" s="41"/>
      <c r="T152" s="41"/>
      <c r="U152" s="41"/>
    </row>
    <row r="153" spans="1:21" x14ac:dyDescent="0.25">
      <c r="A153" s="27" t="s">
        <v>56</v>
      </c>
      <c r="B153" s="7">
        <v>1.39</v>
      </c>
      <c r="C153" s="7">
        <v>1.22</v>
      </c>
      <c r="D153" s="7">
        <v>1.6</v>
      </c>
      <c r="E153" s="33">
        <f t="shared" si="69"/>
        <v>4.21</v>
      </c>
      <c r="F153" s="33">
        <f>E153/3</f>
        <v>1.4033333333333333</v>
      </c>
      <c r="G153" s="43">
        <v>2</v>
      </c>
      <c r="H153" s="16">
        <f t="shared" ref="H153:H160" si="78">F139-F148</f>
        <v>2.3333333333333206E-2</v>
      </c>
      <c r="I153" s="46">
        <f t="shared" ref="I153:I160" si="79">B139-0.03</f>
        <v>1.59</v>
      </c>
      <c r="J153" s="46">
        <f t="shared" si="77"/>
        <v>1.6199999999999999</v>
      </c>
      <c r="K153" s="46">
        <f t="shared" si="77"/>
        <v>1.58</v>
      </c>
      <c r="Q153" s="31"/>
      <c r="S153" s="41"/>
      <c r="T153" s="41"/>
      <c r="U153" s="41"/>
    </row>
    <row r="154" spans="1:21" x14ac:dyDescent="0.25">
      <c r="A154" s="27" t="s">
        <v>57</v>
      </c>
      <c r="B154" s="7">
        <v>1.49</v>
      </c>
      <c r="C154" s="7">
        <v>1.63</v>
      </c>
      <c r="D154" s="7">
        <v>1.28</v>
      </c>
      <c r="E154" s="33">
        <f t="shared" si="69"/>
        <v>4.4000000000000004</v>
      </c>
      <c r="F154" s="33">
        <f t="shared" ref="F154:F155" si="80">E154/3</f>
        <v>1.4666666666666668</v>
      </c>
      <c r="G154" s="43">
        <v>3</v>
      </c>
      <c r="H154" s="16">
        <f t="shared" si="78"/>
        <v>0.12666666666666693</v>
      </c>
      <c r="I154" s="46">
        <f t="shared" si="79"/>
        <v>1.6600000000000001</v>
      </c>
      <c r="J154" s="46">
        <f t="shared" si="77"/>
        <v>1.58</v>
      </c>
      <c r="K154" s="46">
        <f t="shared" si="77"/>
        <v>1.6300000000000001</v>
      </c>
      <c r="S154" s="41"/>
      <c r="T154" s="41"/>
      <c r="U154" s="41"/>
    </row>
    <row r="155" spans="1:21" x14ac:dyDescent="0.25">
      <c r="A155" s="27" t="s">
        <v>58</v>
      </c>
      <c r="B155" s="7">
        <v>1.21</v>
      </c>
      <c r="C155" s="7">
        <v>1.54</v>
      </c>
      <c r="D155" s="7">
        <v>1.37</v>
      </c>
      <c r="E155" s="33">
        <f t="shared" si="69"/>
        <v>4.12</v>
      </c>
      <c r="F155" s="33">
        <f t="shared" si="80"/>
        <v>1.3733333333333333</v>
      </c>
      <c r="G155" s="43">
        <v>4</v>
      </c>
      <c r="H155" s="16">
        <f t="shared" si="78"/>
        <v>0.13333333333333353</v>
      </c>
      <c r="I155" s="46">
        <f t="shared" si="79"/>
        <v>1.45</v>
      </c>
      <c r="J155" s="46">
        <f t="shared" si="77"/>
        <v>1.5699999999999998</v>
      </c>
      <c r="K155" s="46">
        <f t="shared" si="77"/>
        <v>1.49</v>
      </c>
    </row>
    <row r="156" spans="1:21" x14ac:dyDescent="0.25">
      <c r="A156" s="25" t="s">
        <v>20</v>
      </c>
      <c r="B156" s="28">
        <f>SUM(B138:B155)</f>
        <v>27.720000000000002</v>
      </c>
      <c r="C156" s="28">
        <f>SUM(C138:C155)</f>
        <v>26.519999999999996</v>
      </c>
      <c r="D156" s="28">
        <f>SUM(D138:D155)</f>
        <v>28.380000000000003</v>
      </c>
      <c r="E156" s="28">
        <f>SUM(E138:E155)</f>
        <v>82.62</v>
      </c>
      <c r="F156" s="28">
        <f>AVERAGE(B138:D155)</f>
        <v>1.5299999999999998</v>
      </c>
      <c r="G156" s="43">
        <v>5</v>
      </c>
      <c r="H156" s="16">
        <f t="shared" si="78"/>
        <v>2.3333333333333872E-2</v>
      </c>
      <c r="I156" s="46">
        <f t="shared" si="79"/>
        <v>1.6400000000000001</v>
      </c>
      <c r="J156" s="46">
        <f t="shared" si="77"/>
        <v>1.48</v>
      </c>
      <c r="K156" s="46">
        <f t="shared" si="77"/>
        <v>1.59</v>
      </c>
    </row>
    <row r="157" spans="1:21" x14ac:dyDescent="0.25">
      <c r="A157" s="25" t="s">
        <v>11</v>
      </c>
      <c r="B157" s="28">
        <f>B156/18</f>
        <v>1.54</v>
      </c>
      <c r="C157" s="28">
        <f>C156/18</f>
        <v>1.4733333333333332</v>
      </c>
      <c r="D157" s="28">
        <f>D156/18</f>
        <v>1.5766666666666669</v>
      </c>
      <c r="G157" s="43">
        <v>6</v>
      </c>
      <c r="H157" s="16">
        <f t="shared" si="78"/>
        <v>0.13666666666666671</v>
      </c>
      <c r="I157" s="46">
        <f t="shared" si="79"/>
        <v>1.95</v>
      </c>
      <c r="J157" s="46">
        <f t="shared" si="77"/>
        <v>1.34</v>
      </c>
      <c r="K157" s="46">
        <f t="shared" si="77"/>
        <v>1.94</v>
      </c>
    </row>
    <row r="158" spans="1:21" x14ac:dyDescent="0.25">
      <c r="A158" s="25" t="s">
        <v>59</v>
      </c>
      <c r="B158" s="28">
        <f>(E156*E156)/54</f>
        <v>126.40860000000002</v>
      </c>
      <c r="C158" s="28"/>
      <c r="D158" s="28"/>
      <c r="G158" s="43">
        <v>7</v>
      </c>
      <c r="H158" s="16">
        <f t="shared" si="78"/>
        <v>0.18333333333333357</v>
      </c>
      <c r="I158" s="46">
        <f t="shared" si="79"/>
        <v>1.53</v>
      </c>
      <c r="J158" s="46">
        <f t="shared" si="77"/>
        <v>1.56</v>
      </c>
      <c r="K158" s="46">
        <f t="shared" si="77"/>
        <v>1.58</v>
      </c>
    </row>
    <row r="159" spans="1:21" x14ac:dyDescent="0.25">
      <c r="A159" s="25" t="s">
        <v>60</v>
      </c>
      <c r="B159" s="28">
        <f>SUMSQ(B138:D155)-B158</f>
        <v>1.9340000000000117</v>
      </c>
      <c r="C159" s="25" t="s">
        <v>61</v>
      </c>
      <c r="D159" s="28">
        <f>(SUMSQ(B156:D156)/18)-B158</f>
        <v>9.8799999999997112E-2</v>
      </c>
      <c r="G159" s="43">
        <v>8</v>
      </c>
      <c r="H159" s="16">
        <f t="shared" si="78"/>
        <v>0.1466666666666665</v>
      </c>
      <c r="I159" s="46">
        <f t="shared" si="79"/>
        <v>1.52</v>
      </c>
      <c r="J159" s="46">
        <f t="shared" si="77"/>
        <v>1.6099999999999999</v>
      </c>
      <c r="K159" s="46">
        <f t="shared" si="77"/>
        <v>1.62</v>
      </c>
    </row>
    <row r="160" spans="1:21" x14ac:dyDescent="0.25">
      <c r="A160" s="25" t="s">
        <v>62</v>
      </c>
      <c r="B160" s="28">
        <f>(SUMSQ(E138:E155)/3)-B158</f>
        <v>0.77366666666665651</v>
      </c>
      <c r="C160" s="25" t="s">
        <v>63</v>
      </c>
      <c r="D160" s="28">
        <f>B159-B160-D159</f>
        <v>1.0615333333333581</v>
      </c>
      <c r="G160" s="43">
        <v>9</v>
      </c>
      <c r="H160" s="16">
        <f t="shared" si="78"/>
        <v>0.12666666666666671</v>
      </c>
      <c r="I160" s="46">
        <f t="shared" si="79"/>
        <v>1.69</v>
      </c>
      <c r="J160" s="46">
        <f t="shared" si="77"/>
        <v>1.26</v>
      </c>
      <c r="K160" s="46">
        <f t="shared" si="77"/>
        <v>1.46</v>
      </c>
    </row>
    <row r="161" spans="1:22" x14ac:dyDescent="0.25">
      <c r="I161" s="46">
        <f>B147+0.03</f>
        <v>1.34</v>
      </c>
      <c r="J161" s="46">
        <f t="shared" ref="J161:K169" si="81">C147+0.03</f>
        <v>1.1599999999999999</v>
      </c>
      <c r="K161" s="46">
        <f t="shared" si="81"/>
        <v>1.55</v>
      </c>
    </row>
    <row r="162" spans="1:22" x14ac:dyDescent="0.25">
      <c r="I162" s="46">
        <f t="shared" ref="I162:I169" si="82">B148+0.03</f>
        <v>1.45</v>
      </c>
      <c r="J162" s="46">
        <f t="shared" si="81"/>
        <v>1.52</v>
      </c>
      <c r="K162" s="46">
        <f t="shared" si="81"/>
        <v>1.93</v>
      </c>
    </row>
    <row r="163" spans="1:22" x14ac:dyDescent="0.25">
      <c r="I163" s="46">
        <f t="shared" si="82"/>
        <v>1.54</v>
      </c>
      <c r="J163" s="46">
        <f t="shared" si="81"/>
        <v>1.85</v>
      </c>
      <c r="K163" s="46">
        <f t="shared" si="81"/>
        <v>1.28</v>
      </c>
    </row>
    <row r="164" spans="1:22" ht="15.75" x14ac:dyDescent="0.25">
      <c r="C164" s="18" t="s">
        <v>85</v>
      </c>
      <c r="I164" s="46">
        <f t="shared" si="82"/>
        <v>1.44</v>
      </c>
      <c r="J164" s="46">
        <f t="shared" si="81"/>
        <v>1.42</v>
      </c>
      <c r="K164" s="46">
        <f t="shared" si="81"/>
        <v>1.43</v>
      </c>
    </row>
    <row r="165" spans="1:22" x14ac:dyDescent="0.25">
      <c r="I165" s="46">
        <f t="shared" si="82"/>
        <v>1.75</v>
      </c>
      <c r="J165" s="46">
        <f t="shared" si="81"/>
        <v>1.28</v>
      </c>
      <c r="K165" s="46">
        <f t="shared" si="81"/>
        <v>1.79</v>
      </c>
    </row>
    <row r="166" spans="1:22" x14ac:dyDescent="0.25">
      <c r="A166" s="19" t="s">
        <v>13</v>
      </c>
      <c r="B166" s="20">
        <v>2</v>
      </c>
      <c r="C166" s="21"/>
      <c r="D166" s="21"/>
      <c r="E166" s="21"/>
      <c r="F166" s="21"/>
      <c r="G166" s="21"/>
      <c r="H166" s="21"/>
      <c r="I166" s="46">
        <f t="shared" si="82"/>
        <v>1.7</v>
      </c>
      <c r="J166" s="46">
        <f t="shared" si="81"/>
        <v>1.47</v>
      </c>
      <c r="K166" s="46">
        <f t="shared" si="81"/>
        <v>1.83</v>
      </c>
      <c r="L166" s="21"/>
      <c r="M166" s="22"/>
      <c r="N166" s="22"/>
      <c r="O166" s="21"/>
      <c r="P166" s="21"/>
      <c r="T166" s="52">
        <v>1.51</v>
      </c>
      <c r="U166" s="52">
        <v>1.4800000000000002</v>
      </c>
      <c r="V166" s="52">
        <v>1.45</v>
      </c>
    </row>
    <row r="167" spans="1:22" x14ac:dyDescent="0.25">
      <c r="A167" s="19" t="s">
        <v>14</v>
      </c>
      <c r="B167" s="20">
        <v>9</v>
      </c>
      <c r="C167" s="21" t="s">
        <v>15</v>
      </c>
      <c r="D167" s="21">
        <v>18</v>
      </c>
      <c r="E167" s="21"/>
      <c r="F167" s="21"/>
      <c r="G167" s="21"/>
      <c r="H167" s="21"/>
      <c r="I167" s="46">
        <f t="shared" si="82"/>
        <v>1.42</v>
      </c>
      <c r="J167" s="46">
        <f t="shared" si="81"/>
        <v>1.25</v>
      </c>
      <c r="K167" s="46">
        <f t="shared" si="81"/>
        <v>1.6300000000000001</v>
      </c>
      <c r="L167" s="21"/>
      <c r="M167" s="22"/>
      <c r="N167" s="22"/>
      <c r="O167" s="21"/>
      <c r="P167" s="21"/>
      <c r="T167" s="52">
        <v>1.75</v>
      </c>
      <c r="U167" s="52">
        <v>1.7800000000000002</v>
      </c>
      <c r="V167" s="52">
        <v>1.74</v>
      </c>
    </row>
    <row r="168" spans="1:22" x14ac:dyDescent="0.25">
      <c r="A168" s="15" t="s">
        <v>16</v>
      </c>
      <c r="B168" s="23">
        <v>3</v>
      </c>
      <c r="I168" s="46">
        <f t="shared" si="82"/>
        <v>1.52</v>
      </c>
      <c r="J168" s="46">
        <f t="shared" si="81"/>
        <v>1.66</v>
      </c>
      <c r="K168" s="46">
        <f t="shared" si="81"/>
        <v>1.31</v>
      </c>
      <c r="T168" s="52">
        <v>1.78</v>
      </c>
      <c r="U168" s="52">
        <v>1.78</v>
      </c>
      <c r="V168" s="52">
        <v>1.7900000000000003</v>
      </c>
    </row>
    <row r="169" spans="1:22" x14ac:dyDescent="0.25">
      <c r="A169" s="24" t="s">
        <v>0</v>
      </c>
      <c r="B169" s="25" t="s">
        <v>17</v>
      </c>
      <c r="C169" s="25" t="s">
        <v>18</v>
      </c>
      <c r="D169" s="25" t="s">
        <v>19</v>
      </c>
      <c r="E169" s="25" t="s">
        <v>20</v>
      </c>
      <c r="F169" s="25" t="s">
        <v>11</v>
      </c>
      <c r="I169" s="46">
        <f t="shared" si="82"/>
        <v>1.24</v>
      </c>
      <c r="J169" s="46">
        <f t="shared" si="81"/>
        <v>1.57</v>
      </c>
      <c r="K169" s="46">
        <f t="shared" si="81"/>
        <v>1.4000000000000001</v>
      </c>
      <c r="O169" s="16" t="s">
        <v>21</v>
      </c>
      <c r="R169" s="16"/>
      <c r="T169" s="52">
        <v>1.6600000000000001</v>
      </c>
      <c r="U169" s="52">
        <v>1.6800000000000002</v>
      </c>
      <c r="V169" s="52">
        <v>1.6500000000000001</v>
      </c>
    </row>
    <row r="170" spans="1:22" x14ac:dyDescent="0.25">
      <c r="A170" s="27" t="s">
        <v>22</v>
      </c>
      <c r="B170" s="45">
        <v>2.95</v>
      </c>
      <c r="C170" s="45">
        <v>3.0200000000000005</v>
      </c>
      <c r="D170" s="45">
        <v>3.0900000000000003</v>
      </c>
      <c r="E170" s="28">
        <f>SUM(B170:D170)</f>
        <v>9.06</v>
      </c>
      <c r="F170" s="28">
        <f>E170/3</f>
        <v>3.02</v>
      </c>
      <c r="H170" s="29"/>
      <c r="I170" s="29"/>
      <c r="J170" s="29" t="s">
        <v>23</v>
      </c>
      <c r="K170" s="29"/>
      <c r="L170" s="29"/>
      <c r="M170" s="29"/>
      <c r="N170" s="29"/>
      <c r="O170" s="30">
        <v>1</v>
      </c>
      <c r="P170" s="33">
        <f>SUM(F170:F178)/9</f>
        <v>3.2518518518518515</v>
      </c>
      <c r="Q170" s="31" t="e">
        <f>RANK(P170,P$105:P$106,0)</f>
        <v>#N/A</v>
      </c>
      <c r="R170" s="16"/>
      <c r="T170" s="52">
        <v>1.7</v>
      </c>
      <c r="U170" s="52">
        <v>1.7400000000000002</v>
      </c>
      <c r="V170" s="52">
        <v>1.75</v>
      </c>
    </row>
    <row r="171" spans="1:22" x14ac:dyDescent="0.25">
      <c r="A171" s="27" t="s">
        <v>24</v>
      </c>
      <c r="B171" s="45">
        <v>3.1900000000000004</v>
      </c>
      <c r="C171" s="45">
        <v>3.3200000000000003</v>
      </c>
      <c r="D171" s="45">
        <v>3.38</v>
      </c>
      <c r="E171" s="28">
        <f t="shared" ref="E171:E187" si="83">SUM(B171:D171)</f>
        <v>9.89</v>
      </c>
      <c r="F171" s="28">
        <f t="shared" ref="F171:F184" si="84">E171/3</f>
        <v>3.2966666666666669</v>
      </c>
      <c r="G171" s="28"/>
      <c r="H171" s="25" t="s">
        <v>25</v>
      </c>
      <c r="I171" s="25" t="s">
        <v>26</v>
      </c>
      <c r="J171" s="25" t="s">
        <v>27</v>
      </c>
      <c r="K171" s="25" t="s">
        <v>28</v>
      </c>
      <c r="L171" s="25" t="s">
        <v>29</v>
      </c>
      <c r="M171" s="25" t="s">
        <v>30</v>
      </c>
      <c r="N171" s="32"/>
      <c r="O171" s="30">
        <v>2</v>
      </c>
      <c r="P171" s="33">
        <f>SUM(F179:F187)/9</f>
        <v>2.8448148148148147</v>
      </c>
      <c r="Q171" s="31" t="e">
        <f>RANK(P171,P$105:P$106,0)</f>
        <v>#N/A</v>
      </c>
      <c r="R171" s="16"/>
      <c r="T171" s="52">
        <v>1.9100000000000001</v>
      </c>
      <c r="U171" s="52">
        <v>1.85</v>
      </c>
      <c r="V171" s="52">
        <v>1.9500000000000002</v>
      </c>
    </row>
    <row r="172" spans="1:22" x14ac:dyDescent="0.25">
      <c r="A172" s="27" t="s">
        <v>31</v>
      </c>
      <c r="B172" s="45">
        <v>3.76</v>
      </c>
      <c r="C172" s="45">
        <v>2.88</v>
      </c>
      <c r="D172" s="45">
        <v>3.33</v>
      </c>
      <c r="E172" s="28">
        <f t="shared" si="83"/>
        <v>9.9699999999999989</v>
      </c>
      <c r="F172" s="28">
        <f t="shared" si="84"/>
        <v>3.3233333333333328</v>
      </c>
      <c r="G172" s="28" t="s">
        <v>32</v>
      </c>
      <c r="H172" s="28">
        <f>B168-1</f>
        <v>2</v>
      </c>
      <c r="I172" s="28">
        <f>D191</f>
        <v>0.36074444444460596</v>
      </c>
      <c r="J172" s="28">
        <f>I172/H172</f>
        <v>0.18037222222230298</v>
      </c>
      <c r="K172" s="28">
        <f>J172/$J$16</f>
        <v>19.009655124917739</v>
      </c>
      <c r="L172" s="28">
        <f>FINV(0.05,H172,$H$16)</f>
        <v>3.275897990672394</v>
      </c>
      <c r="M172" s="28" t="str">
        <f>IF(K172&gt;=L172, "S", "NS")</f>
        <v>S</v>
      </c>
      <c r="N172" s="21"/>
      <c r="O172" s="25" t="s">
        <v>33</v>
      </c>
      <c r="P172" s="33">
        <f>SQRT(J177/(3*9))</f>
        <v>3.2576186700810042E-2</v>
      </c>
      <c r="R172" s="16"/>
      <c r="T172" s="52">
        <v>1.6900000000000002</v>
      </c>
      <c r="U172" s="52">
        <v>1.7200000000000002</v>
      </c>
      <c r="V172" s="52">
        <v>1.7400000000000002</v>
      </c>
    </row>
    <row r="173" spans="1:22" x14ac:dyDescent="0.25">
      <c r="A173" s="27" t="s">
        <v>34</v>
      </c>
      <c r="B173" s="45">
        <v>3.2</v>
      </c>
      <c r="C173" s="45">
        <v>3.22</v>
      </c>
      <c r="D173" s="45">
        <v>3.1900000000000004</v>
      </c>
      <c r="E173" s="28">
        <f t="shared" si="83"/>
        <v>9.61</v>
      </c>
      <c r="F173" s="28">
        <f t="shared" si="84"/>
        <v>3.2033333333333331</v>
      </c>
      <c r="G173" s="28" t="s">
        <v>35</v>
      </c>
      <c r="H173" s="28">
        <f>D167-1</f>
        <v>17</v>
      </c>
      <c r="I173" s="28">
        <f>B192</f>
        <v>2.9232166666668604</v>
      </c>
      <c r="J173" s="28">
        <f t="shared" ref="J173:J177" si="85">I173/H173</f>
        <v>0.17195392156863884</v>
      </c>
      <c r="K173" s="28">
        <f>J173/$J$16</f>
        <v>18.122439842030143</v>
      </c>
      <c r="L173" s="28">
        <f>FINV(0.05,H173,$H$16)</f>
        <v>1.9332068318040869</v>
      </c>
      <c r="M173" s="34" t="str">
        <f t="shared" ref="M173" si="86">IF(K173&gt;=L173, "S", "NS")</f>
        <v>S</v>
      </c>
      <c r="N173" s="25" t="s">
        <v>36</v>
      </c>
      <c r="O173" s="25" t="s">
        <v>37</v>
      </c>
      <c r="P173" s="33">
        <f>SQRT((2*J177)/(3*9))*L178</f>
        <v>9.3624864473990418E-2</v>
      </c>
      <c r="R173" s="16"/>
      <c r="T173" s="52">
        <v>1.7800000000000002</v>
      </c>
      <c r="U173" s="52">
        <v>1.6700000000000002</v>
      </c>
      <c r="V173" s="52">
        <v>1.7800000000000002</v>
      </c>
    </row>
    <row r="174" spans="1:22" x14ac:dyDescent="0.25">
      <c r="A174" s="27" t="s">
        <v>38</v>
      </c>
      <c r="B174" s="45">
        <v>3.54</v>
      </c>
      <c r="C174" s="45">
        <v>3.08</v>
      </c>
      <c r="D174" s="45">
        <v>3.1900000000000004</v>
      </c>
      <c r="E174" s="28">
        <f t="shared" si="83"/>
        <v>9.81</v>
      </c>
      <c r="F174" s="28">
        <f t="shared" si="84"/>
        <v>3.27</v>
      </c>
      <c r="G174" s="28" t="s">
        <v>39</v>
      </c>
      <c r="H174" s="28">
        <f>B166-1</f>
        <v>1</v>
      </c>
      <c r="I174" s="28">
        <f>(SUM(E170:E178)^2+SUM(E179:E187)^2)/27-B190</f>
        <v>2.2366685185187407</v>
      </c>
      <c r="J174" s="28">
        <f t="shared" si="85"/>
        <v>2.2366685185187407</v>
      </c>
      <c r="K174" s="28">
        <f>J174/$J$16</f>
        <v>235.7253053821087</v>
      </c>
      <c r="L174" s="28">
        <f>FINV(0.05,H174,$H$16)</f>
        <v>4.1300177456520188</v>
      </c>
      <c r="M174" s="28" t="str">
        <f>IF(K174&gt;=L174, "S", "NS")</f>
        <v>S</v>
      </c>
      <c r="N174" s="21"/>
      <c r="O174" s="30">
        <v>1</v>
      </c>
      <c r="P174" s="33">
        <f>(F170+F179)/2</f>
        <v>2.8216666666666668</v>
      </c>
      <c r="Q174" s="31" t="e">
        <f>RANK(P174,P$109:P$117,0)</f>
        <v>#N/A</v>
      </c>
      <c r="R174" s="35">
        <v>9</v>
      </c>
      <c r="T174" s="52">
        <v>1.6500000000000001</v>
      </c>
      <c r="U174" s="52">
        <v>1.62</v>
      </c>
      <c r="V174" s="52">
        <v>1.62</v>
      </c>
    </row>
    <row r="175" spans="1:22" x14ac:dyDescent="0.25">
      <c r="A175" s="27" t="s">
        <v>40</v>
      </c>
      <c r="B175" s="45">
        <v>3.45</v>
      </c>
      <c r="C175" s="45">
        <v>3.39</v>
      </c>
      <c r="D175" s="45">
        <v>3.49</v>
      </c>
      <c r="E175" s="28">
        <f t="shared" si="83"/>
        <v>10.33</v>
      </c>
      <c r="F175" s="28">
        <f t="shared" si="84"/>
        <v>3.4433333333333334</v>
      </c>
      <c r="G175" s="28" t="s">
        <v>41</v>
      </c>
      <c r="H175" s="28">
        <f>B167-1</f>
        <v>8</v>
      </c>
      <c r="I175" s="28">
        <f>((E170+E179)^2+(E171+E180)^2+(E172+E181)^2+(E173+E182)^2+(E174+E183)^2+(E175+E184)^2+(E176+E185)^2+(E177+E186)^2+(E178+E187)^2/6)-B190</f>
        <v>2250.5892166666672</v>
      </c>
      <c r="J175" s="28">
        <f t="shared" si="85"/>
        <v>281.3236520833334</v>
      </c>
      <c r="K175" s="28">
        <f>J175/$J$16</f>
        <v>29649.053156286122</v>
      </c>
      <c r="L175" s="28">
        <f>FINV(0.05,H175,$H$16)</f>
        <v>2.2253399674380931</v>
      </c>
      <c r="M175" s="28" t="str">
        <f>IF(K175&gt;=L175, "S", "NS")</f>
        <v>S</v>
      </c>
      <c r="N175" s="21"/>
      <c r="O175" s="30">
        <v>2</v>
      </c>
      <c r="P175" s="33">
        <f t="shared" ref="P175:P182" si="87">(F171+F180)/2</f>
        <v>3.1333333333333337</v>
      </c>
      <c r="Q175" s="31" t="e">
        <f t="shared" ref="Q175:Q182" si="88">RANK(P175,P$109:P$117,0)</f>
        <v>#N/A</v>
      </c>
      <c r="R175" s="37">
        <v>5</v>
      </c>
      <c r="T175" s="52">
        <v>1.37</v>
      </c>
      <c r="U175" s="52">
        <v>1.3900000000000001</v>
      </c>
      <c r="V175" s="52">
        <v>1.3800000000000001</v>
      </c>
    </row>
    <row r="176" spans="1:22" x14ac:dyDescent="0.25">
      <c r="A176" s="27" t="s">
        <v>42</v>
      </c>
      <c r="B176" s="45">
        <v>3.2300000000000004</v>
      </c>
      <c r="C176" s="45">
        <v>3.2600000000000002</v>
      </c>
      <c r="D176" s="45">
        <v>3.2800000000000002</v>
      </c>
      <c r="E176" s="28">
        <f t="shared" si="83"/>
        <v>9.77</v>
      </c>
      <c r="F176" s="28">
        <f t="shared" si="84"/>
        <v>3.2566666666666664</v>
      </c>
      <c r="G176" s="38" t="s">
        <v>43</v>
      </c>
      <c r="H176" s="28">
        <f>H174*H175</f>
        <v>8</v>
      </c>
      <c r="I176" s="28">
        <f>I173-(I174+I175)</f>
        <v>-2249.902668518519</v>
      </c>
      <c r="J176" s="28">
        <f t="shared" si="85"/>
        <v>-281.23783356481488</v>
      </c>
      <c r="K176" s="39">
        <f>J176/$J$16</f>
        <v>-29640.008634794569</v>
      </c>
      <c r="L176" s="28">
        <f>FINV(0.05,H176,$H$16)</f>
        <v>2.2253399674380931</v>
      </c>
      <c r="M176" s="28" t="str">
        <f t="shared" ref="M176" si="89">IF(K176&gt;=L176, "S", "NS")</f>
        <v>NS</v>
      </c>
      <c r="N176" s="21"/>
      <c r="O176" s="30">
        <v>3</v>
      </c>
      <c r="P176" s="33">
        <f t="shared" si="87"/>
        <v>3.11</v>
      </c>
      <c r="Q176" s="31" t="e">
        <f t="shared" si="88"/>
        <v>#N/A</v>
      </c>
      <c r="R176" s="37">
        <v>2</v>
      </c>
      <c r="T176" s="52">
        <v>1.68</v>
      </c>
      <c r="U176" s="52">
        <v>1.6</v>
      </c>
      <c r="V176" s="52">
        <v>1.7</v>
      </c>
    </row>
    <row r="177" spans="1:22" x14ac:dyDescent="0.25">
      <c r="A177" s="27" t="s">
        <v>44</v>
      </c>
      <c r="B177" s="45">
        <v>3.3200000000000003</v>
      </c>
      <c r="C177" s="45">
        <v>3.01</v>
      </c>
      <c r="D177" s="45">
        <v>3.52</v>
      </c>
      <c r="E177" s="28">
        <f t="shared" si="83"/>
        <v>9.85</v>
      </c>
      <c r="F177" s="28">
        <f t="shared" si="84"/>
        <v>3.2833333333333332</v>
      </c>
      <c r="G177" s="40" t="s">
        <v>45</v>
      </c>
      <c r="H177" s="28">
        <f>((B168-1)*(B166*B167-1))</f>
        <v>34</v>
      </c>
      <c r="I177" s="28">
        <f>D192</f>
        <v>0.97418888888881838</v>
      </c>
      <c r="J177" s="28">
        <f t="shared" si="85"/>
        <v>2.8652614379082893E-2</v>
      </c>
      <c r="O177" s="30">
        <v>4</v>
      </c>
      <c r="P177" s="33">
        <f t="shared" si="87"/>
        <v>3.0049999999999999</v>
      </c>
      <c r="Q177" s="31" t="e">
        <f t="shared" si="88"/>
        <v>#N/A</v>
      </c>
      <c r="R177" s="37">
        <v>7</v>
      </c>
      <c r="T177" s="52">
        <v>1.57</v>
      </c>
      <c r="U177" s="52">
        <v>1.6800000000000002</v>
      </c>
      <c r="V177" s="52">
        <v>1.51</v>
      </c>
    </row>
    <row r="178" spans="1:22" x14ac:dyDescent="0.25">
      <c r="A178" s="27" t="s">
        <v>46</v>
      </c>
      <c r="B178" s="45">
        <v>3.29</v>
      </c>
      <c r="C178" s="45">
        <v>2.76</v>
      </c>
      <c r="D178" s="45">
        <v>3.46</v>
      </c>
      <c r="E178" s="28">
        <f t="shared" si="83"/>
        <v>9.51</v>
      </c>
      <c r="F178" s="28">
        <f t="shared" si="84"/>
        <v>3.17</v>
      </c>
      <c r="G178" s="39" t="s">
        <v>20</v>
      </c>
      <c r="H178" s="28">
        <f>SUM(H172:H177)-H173</f>
        <v>53</v>
      </c>
      <c r="I178" s="28">
        <f>B191</f>
        <v>4.2581500000002848</v>
      </c>
      <c r="K178" s="28" t="s">
        <v>47</v>
      </c>
      <c r="L178" s="16">
        <f>TINV(0.05,34)</f>
        <v>2.0322445093177191</v>
      </c>
      <c r="O178" s="30">
        <v>5</v>
      </c>
      <c r="P178" s="33">
        <f t="shared" si="87"/>
        <v>3.1083333333333334</v>
      </c>
      <c r="Q178" s="31" t="e">
        <f t="shared" si="88"/>
        <v>#N/A</v>
      </c>
      <c r="R178" s="35">
        <v>3</v>
      </c>
      <c r="T178" s="52">
        <v>1.4700000000000002</v>
      </c>
      <c r="U178" s="52">
        <v>1.5</v>
      </c>
      <c r="V178" s="52">
        <v>1.4200000000000002</v>
      </c>
    </row>
    <row r="179" spans="1:22" x14ac:dyDescent="0.25">
      <c r="A179" s="27" t="s">
        <v>48</v>
      </c>
      <c r="B179" s="45">
        <v>2.6800000000000006</v>
      </c>
      <c r="C179" s="45">
        <v>2.5</v>
      </c>
      <c r="D179" s="45">
        <v>2.6900000000000004</v>
      </c>
      <c r="E179" s="28">
        <f t="shared" si="83"/>
        <v>7.870000000000001</v>
      </c>
      <c r="F179" s="28">
        <f t="shared" si="84"/>
        <v>2.6233333333333335</v>
      </c>
      <c r="G179" s="42" t="s">
        <v>33</v>
      </c>
      <c r="H179" s="28">
        <f>SQRT(J177/3)</f>
        <v>9.7728560102430126E-2</v>
      </c>
      <c r="O179" s="30">
        <v>6</v>
      </c>
      <c r="P179" s="33">
        <f t="shared" si="87"/>
        <v>3.2250000000000005</v>
      </c>
      <c r="Q179" s="31" t="e">
        <f t="shared" si="88"/>
        <v>#N/A</v>
      </c>
      <c r="R179" s="37">
        <v>1</v>
      </c>
      <c r="T179" s="52">
        <v>1.58</v>
      </c>
      <c r="U179" s="52">
        <v>1.61</v>
      </c>
      <c r="V179" s="52">
        <v>1.72</v>
      </c>
    </row>
    <row r="180" spans="1:22" x14ac:dyDescent="0.25">
      <c r="A180" s="27" t="s">
        <v>49</v>
      </c>
      <c r="B180" s="45">
        <v>2.99</v>
      </c>
      <c r="C180" s="45">
        <v>2.71</v>
      </c>
      <c r="D180" s="45">
        <v>3.21</v>
      </c>
      <c r="E180" s="28">
        <f t="shared" si="83"/>
        <v>8.91</v>
      </c>
      <c r="F180" s="28">
        <f t="shared" si="84"/>
        <v>2.97</v>
      </c>
      <c r="G180" s="42" t="s">
        <v>37</v>
      </c>
      <c r="H180" s="28">
        <f>(SQRT((2*J177)/3))*L178</f>
        <v>0.2808745934219713</v>
      </c>
      <c r="O180" s="30">
        <v>7</v>
      </c>
      <c r="P180" s="33">
        <f t="shared" si="87"/>
        <v>3.0149999999999997</v>
      </c>
      <c r="Q180" s="31" t="e">
        <f t="shared" si="88"/>
        <v>#N/A</v>
      </c>
      <c r="R180" s="37">
        <v>6</v>
      </c>
      <c r="T180" s="52">
        <v>1.73</v>
      </c>
      <c r="U180" s="52">
        <v>1.7</v>
      </c>
      <c r="V180" s="52">
        <v>1.6600000000000001</v>
      </c>
    </row>
    <row r="181" spans="1:22" x14ac:dyDescent="0.25">
      <c r="A181" s="27" t="s">
        <v>50</v>
      </c>
      <c r="B181" s="45">
        <v>2.8800000000000003</v>
      </c>
      <c r="C181" s="45">
        <v>2.99</v>
      </c>
      <c r="D181" s="45">
        <v>2.8200000000000003</v>
      </c>
      <c r="E181" s="28">
        <f t="shared" si="83"/>
        <v>8.6900000000000013</v>
      </c>
      <c r="F181" s="28">
        <f t="shared" si="84"/>
        <v>2.8966666666666669</v>
      </c>
      <c r="G181" s="42" t="s">
        <v>51</v>
      </c>
      <c r="H181" s="28">
        <f>((SQRT(J177))/F188)*100</f>
        <v>5.5528976964884968</v>
      </c>
      <c r="O181" s="30">
        <v>8</v>
      </c>
      <c r="P181" s="33">
        <f t="shared" si="87"/>
        <v>3.0600000000000005</v>
      </c>
      <c r="Q181" s="31" t="e">
        <f t="shared" si="88"/>
        <v>#N/A</v>
      </c>
      <c r="R181" s="35">
        <v>4</v>
      </c>
      <c r="T181" s="52">
        <v>1.45</v>
      </c>
      <c r="U181" s="52">
        <v>1.48</v>
      </c>
      <c r="V181" s="52">
        <v>1.46</v>
      </c>
    </row>
    <row r="182" spans="1:22" x14ac:dyDescent="0.25">
      <c r="A182" s="27" t="s">
        <v>52</v>
      </c>
      <c r="B182" s="45">
        <v>2.7800000000000002</v>
      </c>
      <c r="C182" s="45">
        <v>2.6100000000000003</v>
      </c>
      <c r="D182" s="45">
        <v>3.0300000000000002</v>
      </c>
      <c r="E182" s="28">
        <f t="shared" si="83"/>
        <v>8.4200000000000017</v>
      </c>
      <c r="F182" s="28">
        <f t="shared" si="84"/>
        <v>2.8066666666666671</v>
      </c>
      <c r="O182" s="30">
        <v>9</v>
      </c>
      <c r="P182" s="33">
        <f t="shared" si="87"/>
        <v>2.956666666666667</v>
      </c>
      <c r="Q182" s="31" t="e">
        <f t="shared" si="88"/>
        <v>#N/A</v>
      </c>
      <c r="R182" s="37">
        <v>8</v>
      </c>
      <c r="T182" s="52">
        <v>1.55</v>
      </c>
      <c r="U182" s="52">
        <v>1.5</v>
      </c>
      <c r="V182" s="52">
        <v>1.53</v>
      </c>
    </row>
    <row r="183" spans="1:22" x14ac:dyDescent="0.25">
      <c r="A183" s="27" t="s">
        <v>53</v>
      </c>
      <c r="B183" s="45">
        <v>2.8900000000000006</v>
      </c>
      <c r="C183" s="45">
        <v>2.72</v>
      </c>
      <c r="D183" s="45">
        <v>3.23</v>
      </c>
      <c r="E183" s="28">
        <f t="shared" si="83"/>
        <v>8.8400000000000016</v>
      </c>
      <c r="F183" s="28">
        <f t="shared" si="84"/>
        <v>2.9466666666666672</v>
      </c>
      <c r="H183" s="16" t="s">
        <v>54</v>
      </c>
      <c r="O183" s="25" t="s">
        <v>33</v>
      </c>
      <c r="P183" s="33">
        <f>SQRT(J177/(3*2))</f>
        <v>6.9104527564025423E-2</v>
      </c>
      <c r="Q183" s="31"/>
      <c r="T183" s="52">
        <v>1.37</v>
      </c>
      <c r="U183" s="52">
        <v>1.45</v>
      </c>
      <c r="V183" s="52">
        <v>1.48</v>
      </c>
    </row>
    <row r="184" spans="1:22" x14ac:dyDescent="0.25">
      <c r="A184" s="27" t="s">
        <v>55</v>
      </c>
      <c r="B184" s="45">
        <v>3.04</v>
      </c>
      <c r="C184" s="45">
        <v>3.0100000000000002</v>
      </c>
      <c r="D184" s="45">
        <v>2.9700000000000006</v>
      </c>
      <c r="E184" s="28">
        <f t="shared" si="83"/>
        <v>9.0200000000000014</v>
      </c>
      <c r="F184" s="28">
        <f t="shared" si="84"/>
        <v>3.0066666666666673</v>
      </c>
      <c r="G184" s="43">
        <v>1</v>
      </c>
      <c r="H184" s="16">
        <f>F170-F179</f>
        <v>0.3966666666666665</v>
      </c>
      <c r="I184" s="46">
        <f>B170+0.02</f>
        <v>2.97</v>
      </c>
      <c r="J184" s="46">
        <f t="shared" ref="J184:K192" si="90">C170+0.02</f>
        <v>3.0400000000000005</v>
      </c>
      <c r="K184" s="46">
        <f t="shared" si="90"/>
        <v>3.1100000000000003</v>
      </c>
      <c r="N184" s="25" t="s">
        <v>41</v>
      </c>
      <c r="O184" s="25" t="s">
        <v>37</v>
      </c>
      <c r="P184" s="33">
        <f>SQRT((2*J177)/(3*2))*L178</f>
        <v>0.19860832967169031</v>
      </c>
      <c r="Q184" s="31"/>
    </row>
    <row r="185" spans="1:22" x14ac:dyDescent="0.25">
      <c r="A185" s="27" t="s">
        <v>56</v>
      </c>
      <c r="B185" s="45">
        <v>2.7600000000000002</v>
      </c>
      <c r="C185" s="45">
        <v>2.79</v>
      </c>
      <c r="D185" s="45">
        <v>2.7700000000000005</v>
      </c>
      <c r="E185" s="28">
        <f t="shared" si="83"/>
        <v>8.32</v>
      </c>
      <c r="F185" s="28">
        <f>E185/3</f>
        <v>2.7733333333333334</v>
      </c>
      <c r="G185" s="43">
        <v>2</v>
      </c>
      <c r="H185" s="16">
        <f t="shared" ref="H185:H192" si="91">F171-F180</f>
        <v>0.32666666666666666</v>
      </c>
      <c r="I185" s="46">
        <f t="shared" ref="I185:I192" si="92">B171+0.02</f>
        <v>3.2100000000000004</v>
      </c>
      <c r="J185" s="46">
        <f t="shared" si="90"/>
        <v>3.3400000000000003</v>
      </c>
      <c r="K185" s="46">
        <f t="shared" si="90"/>
        <v>3.4</v>
      </c>
      <c r="Q185" s="31"/>
    </row>
    <row r="186" spans="1:22" x14ac:dyDescent="0.25">
      <c r="A186" s="27" t="s">
        <v>57</v>
      </c>
      <c r="B186" s="45">
        <v>2.8600000000000003</v>
      </c>
      <c r="C186" s="45">
        <v>2.8100000000000005</v>
      </c>
      <c r="D186" s="45">
        <v>2.8400000000000003</v>
      </c>
      <c r="E186" s="28">
        <f t="shared" si="83"/>
        <v>8.5100000000000016</v>
      </c>
      <c r="F186" s="28">
        <f t="shared" ref="F186:F187" si="93">E186/3</f>
        <v>2.8366666666666673</v>
      </c>
      <c r="G186" s="43">
        <v>3</v>
      </c>
      <c r="H186" s="16">
        <f t="shared" si="91"/>
        <v>0.42666666666666586</v>
      </c>
      <c r="I186" s="46">
        <f t="shared" si="92"/>
        <v>3.78</v>
      </c>
      <c r="J186" s="46">
        <f t="shared" si="90"/>
        <v>2.9</v>
      </c>
      <c r="K186" s="46">
        <f t="shared" si="90"/>
        <v>3.35</v>
      </c>
    </row>
    <row r="187" spans="1:22" x14ac:dyDescent="0.25">
      <c r="A187" s="27" t="s">
        <v>58</v>
      </c>
      <c r="B187" s="45">
        <v>2.6800000000000006</v>
      </c>
      <c r="C187" s="45">
        <v>2.7600000000000002</v>
      </c>
      <c r="D187" s="45">
        <v>2.79</v>
      </c>
      <c r="E187" s="28">
        <f t="shared" si="83"/>
        <v>8.23</v>
      </c>
      <c r="F187" s="28">
        <f t="shared" si="93"/>
        <v>2.7433333333333336</v>
      </c>
      <c r="G187" s="43">
        <v>4</v>
      </c>
      <c r="H187" s="16">
        <f t="shared" si="91"/>
        <v>0.39666666666666606</v>
      </c>
      <c r="I187" s="46">
        <f t="shared" si="92"/>
        <v>3.22</v>
      </c>
      <c r="J187" s="46">
        <f t="shared" si="90"/>
        <v>3.24</v>
      </c>
      <c r="K187" s="46">
        <f t="shared" si="90"/>
        <v>3.2100000000000004</v>
      </c>
    </row>
    <row r="188" spans="1:22" x14ac:dyDescent="0.25">
      <c r="A188" s="25" t="s">
        <v>20</v>
      </c>
      <c r="B188" s="28">
        <f>SUM(B170:B187)</f>
        <v>55.49</v>
      </c>
      <c r="C188" s="28">
        <f t="shared" ref="C188:D188" si="94">SUM(C170:C187)</f>
        <v>52.839999999999996</v>
      </c>
      <c r="D188" s="28">
        <f t="shared" si="94"/>
        <v>56.280000000000008</v>
      </c>
      <c r="E188" s="28">
        <f>SUM(E170:E187)</f>
        <v>164.60999999999999</v>
      </c>
      <c r="F188" s="28">
        <f>AVERAGE(B170:D187)</f>
        <v>3.0483333333333329</v>
      </c>
      <c r="G188" s="43">
        <v>5</v>
      </c>
      <c r="H188" s="16">
        <f t="shared" si="91"/>
        <v>0.32333333333333281</v>
      </c>
      <c r="I188" s="46">
        <f t="shared" si="92"/>
        <v>3.56</v>
      </c>
      <c r="J188" s="46">
        <f t="shared" si="90"/>
        <v>3.1</v>
      </c>
      <c r="K188" s="46">
        <f t="shared" si="90"/>
        <v>3.2100000000000004</v>
      </c>
    </row>
    <row r="189" spans="1:22" x14ac:dyDescent="0.25">
      <c r="A189" s="25" t="s">
        <v>11</v>
      </c>
      <c r="B189" s="28">
        <f>B188/18</f>
        <v>3.0827777777777778</v>
      </c>
      <c r="C189" s="28">
        <f>C188/18</f>
        <v>2.9355555555555553</v>
      </c>
      <c r="D189" s="28">
        <f>D188/18</f>
        <v>3.1266666666666669</v>
      </c>
      <c r="G189" s="43">
        <v>6</v>
      </c>
      <c r="H189" s="16">
        <f t="shared" si="91"/>
        <v>0.43666666666666609</v>
      </c>
      <c r="I189" s="46">
        <f t="shared" si="92"/>
        <v>3.47</v>
      </c>
      <c r="J189" s="46">
        <f t="shared" si="90"/>
        <v>3.41</v>
      </c>
      <c r="K189" s="46">
        <f t="shared" si="90"/>
        <v>3.5100000000000002</v>
      </c>
    </row>
    <row r="190" spans="1:22" x14ac:dyDescent="0.25">
      <c r="A190" s="25" t="s">
        <v>59</v>
      </c>
      <c r="B190" s="28">
        <f>(E188*E188)/54</f>
        <v>501.78614999999991</v>
      </c>
      <c r="C190" s="28"/>
      <c r="D190" s="28"/>
      <c r="G190" s="43">
        <v>7</v>
      </c>
      <c r="H190" s="16">
        <f t="shared" si="91"/>
        <v>0.48333333333333295</v>
      </c>
      <c r="I190" s="46">
        <f t="shared" si="92"/>
        <v>3.2500000000000004</v>
      </c>
      <c r="J190" s="46">
        <f t="shared" si="90"/>
        <v>3.2800000000000002</v>
      </c>
      <c r="K190" s="46">
        <f t="shared" si="90"/>
        <v>3.3000000000000003</v>
      </c>
    </row>
    <row r="191" spans="1:22" x14ac:dyDescent="0.25">
      <c r="A191" s="25" t="s">
        <v>60</v>
      </c>
      <c r="B191" s="28">
        <f>SUMSQ(B170:D187)-B190</f>
        <v>4.2581500000002848</v>
      </c>
      <c r="C191" s="25" t="s">
        <v>61</v>
      </c>
      <c r="D191" s="28">
        <f>(SUMSQ(B188:D188)/18)-B190</f>
        <v>0.36074444444460596</v>
      </c>
      <c r="G191" s="43">
        <v>8</v>
      </c>
      <c r="H191" s="16">
        <f t="shared" si="91"/>
        <v>0.44666666666666588</v>
      </c>
      <c r="I191" s="46">
        <f t="shared" si="92"/>
        <v>3.3400000000000003</v>
      </c>
      <c r="J191" s="46">
        <f t="shared" si="90"/>
        <v>3.03</v>
      </c>
      <c r="K191" s="46">
        <f t="shared" si="90"/>
        <v>3.54</v>
      </c>
    </row>
    <row r="192" spans="1:22" x14ac:dyDescent="0.25">
      <c r="A192" s="25" t="s">
        <v>62</v>
      </c>
      <c r="B192" s="28">
        <f>(SUMSQ(E170:E187)/3)-B190</f>
        <v>2.9232166666668604</v>
      </c>
      <c r="C192" s="25" t="s">
        <v>63</v>
      </c>
      <c r="D192" s="28">
        <f>B191-B192-D191</f>
        <v>0.97418888888881838</v>
      </c>
      <c r="G192" s="43">
        <v>9</v>
      </c>
      <c r="H192" s="16">
        <f t="shared" si="91"/>
        <v>0.42666666666666631</v>
      </c>
      <c r="I192" s="46">
        <f t="shared" si="92"/>
        <v>3.31</v>
      </c>
      <c r="J192" s="46">
        <f t="shared" si="90"/>
        <v>2.78</v>
      </c>
      <c r="K192" s="46">
        <f t="shared" si="90"/>
        <v>3.48</v>
      </c>
    </row>
    <row r="193" spans="1:21" x14ac:dyDescent="0.25">
      <c r="I193" s="46">
        <f>B179-0.02</f>
        <v>2.6600000000000006</v>
      </c>
      <c r="J193" s="46">
        <f t="shared" ref="J193:K201" si="95">C179-0.02</f>
        <v>2.48</v>
      </c>
      <c r="K193" s="46">
        <f t="shared" si="95"/>
        <v>2.6700000000000004</v>
      </c>
    </row>
    <row r="194" spans="1:21" x14ac:dyDescent="0.25">
      <c r="I194" s="46">
        <f t="shared" ref="I194:I201" si="96">B180-0.02</f>
        <v>2.97</v>
      </c>
      <c r="J194" s="46">
        <f t="shared" si="95"/>
        <v>2.69</v>
      </c>
      <c r="K194" s="46">
        <f t="shared" si="95"/>
        <v>3.19</v>
      </c>
    </row>
    <row r="195" spans="1:21" x14ac:dyDescent="0.25">
      <c r="C195" s="51" t="s">
        <v>86</v>
      </c>
      <c r="I195" s="46">
        <f t="shared" si="96"/>
        <v>2.8600000000000003</v>
      </c>
      <c r="J195" s="46">
        <f t="shared" si="95"/>
        <v>2.97</v>
      </c>
      <c r="K195" s="46">
        <f t="shared" si="95"/>
        <v>2.8000000000000003</v>
      </c>
    </row>
    <row r="196" spans="1:21" ht="15.75" x14ac:dyDescent="0.25">
      <c r="C196" s="50">
        <v>2019</v>
      </c>
      <c r="I196" s="46">
        <f t="shared" si="96"/>
        <v>2.7600000000000002</v>
      </c>
      <c r="J196" s="46">
        <f t="shared" si="95"/>
        <v>2.5900000000000003</v>
      </c>
      <c r="K196" s="46">
        <f t="shared" si="95"/>
        <v>3.0100000000000002</v>
      </c>
    </row>
    <row r="197" spans="1:21" x14ac:dyDescent="0.25">
      <c r="I197" s="46">
        <f t="shared" si="96"/>
        <v>2.8700000000000006</v>
      </c>
      <c r="J197" s="46">
        <f t="shared" si="95"/>
        <v>2.7</v>
      </c>
      <c r="K197" s="46">
        <f t="shared" si="95"/>
        <v>3.21</v>
      </c>
    </row>
    <row r="198" spans="1:21" x14ac:dyDescent="0.25">
      <c r="A198" s="19" t="s">
        <v>13</v>
      </c>
      <c r="B198" s="20">
        <v>2</v>
      </c>
      <c r="C198" s="21"/>
      <c r="D198" s="21"/>
      <c r="E198" s="21"/>
      <c r="F198" s="21"/>
      <c r="G198" s="21"/>
      <c r="H198" s="21"/>
      <c r="I198" s="46">
        <f t="shared" si="96"/>
        <v>3.02</v>
      </c>
      <c r="J198" s="46">
        <f t="shared" si="95"/>
        <v>2.99</v>
      </c>
      <c r="K198" s="46">
        <f t="shared" si="95"/>
        <v>2.9500000000000006</v>
      </c>
      <c r="L198" s="21"/>
      <c r="M198" s="22"/>
      <c r="N198" s="22"/>
      <c r="O198" s="21"/>
      <c r="P198" s="21"/>
    </row>
    <row r="199" spans="1:21" x14ac:dyDescent="0.25">
      <c r="A199" s="19" t="s">
        <v>14</v>
      </c>
      <c r="B199" s="20">
        <v>9</v>
      </c>
      <c r="C199" s="21" t="s">
        <v>15</v>
      </c>
      <c r="D199" s="21">
        <v>18</v>
      </c>
      <c r="E199" s="21"/>
      <c r="F199" s="21"/>
      <c r="G199" s="21"/>
      <c r="H199" s="21"/>
      <c r="I199" s="46">
        <f t="shared" si="96"/>
        <v>2.74</v>
      </c>
      <c r="J199" s="46">
        <f t="shared" si="95"/>
        <v>2.77</v>
      </c>
      <c r="K199" s="46">
        <f t="shared" si="95"/>
        <v>2.7500000000000004</v>
      </c>
      <c r="L199" s="21"/>
      <c r="M199" s="22"/>
      <c r="N199" s="22"/>
      <c r="O199" s="21"/>
      <c r="P199" s="21"/>
    </row>
    <row r="200" spans="1:21" x14ac:dyDescent="0.25">
      <c r="A200" s="15" t="s">
        <v>16</v>
      </c>
      <c r="B200" s="23">
        <v>3</v>
      </c>
      <c r="I200" s="46">
        <f t="shared" si="96"/>
        <v>2.8400000000000003</v>
      </c>
      <c r="J200" s="46">
        <f t="shared" si="95"/>
        <v>2.7900000000000005</v>
      </c>
      <c r="K200" s="46">
        <f t="shared" si="95"/>
        <v>2.8200000000000003</v>
      </c>
    </row>
    <row r="201" spans="1:21" x14ac:dyDescent="0.25">
      <c r="A201" s="24" t="s">
        <v>0</v>
      </c>
      <c r="B201" s="25" t="s">
        <v>17</v>
      </c>
      <c r="C201" s="25" t="s">
        <v>18</v>
      </c>
      <c r="D201" s="25" t="s">
        <v>19</v>
      </c>
      <c r="E201" s="25" t="s">
        <v>20</v>
      </c>
      <c r="F201" s="25" t="s">
        <v>11</v>
      </c>
      <c r="I201" s="46">
        <f t="shared" si="96"/>
        <v>2.6600000000000006</v>
      </c>
      <c r="J201" s="46">
        <f t="shared" si="95"/>
        <v>2.74</v>
      </c>
      <c r="K201" s="46">
        <f t="shared" si="95"/>
        <v>2.77</v>
      </c>
      <c r="O201" s="16" t="s">
        <v>21</v>
      </c>
      <c r="S201" s="26">
        <v>2019</v>
      </c>
      <c r="T201" s="26"/>
      <c r="U201" s="26"/>
    </row>
    <row r="202" spans="1:21" x14ac:dyDescent="0.25">
      <c r="A202" s="27" t="s">
        <v>22</v>
      </c>
      <c r="B202" s="7">
        <v>0.19999999999999998</v>
      </c>
      <c r="C202" s="7">
        <v>0.18000000000000002</v>
      </c>
      <c r="D202" s="7">
        <v>0.19999999999999998</v>
      </c>
      <c r="E202" s="33">
        <f t="shared" ref="E202:E219" si="97">SUM(B202:D202)</f>
        <v>0.57999999999999996</v>
      </c>
      <c r="F202" s="33">
        <f>E202/3</f>
        <v>0.19333333333333333</v>
      </c>
      <c r="H202" s="29"/>
      <c r="I202" s="29"/>
      <c r="J202" s="29" t="s">
        <v>23</v>
      </c>
      <c r="K202" s="29"/>
      <c r="L202" s="29"/>
      <c r="M202" s="29"/>
      <c r="N202" s="29"/>
      <c r="O202" s="30">
        <v>1</v>
      </c>
      <c r="P202" s="33">
        <f>SUM(F202:F210)/9</f>
        <v>0.25980074074074078</v>
      </c>
      <c r="Q202" s="31" t="e">
        <f>RANK(P202,P$9:P$10,0)</f>
        <v>#N/A</v>
      </c>
      <c r="S202" s="26">
        <f>P202*1835</f>
        <v>476.73435925925935</v>
      </c>
      <c r="T202" s="26"/>
      <c r="U202" s="26"/>
    </row>
    <row r="203" spans="1:21" x14ac:dyDescent="0.25">
      <c r="A203" s="27" t="s">
        <v>24</v>
      </c>
      <c r="B203" s="7">
        <v>0.26714799999999994</v>
      </c>
      <c r="C203" s="7">
        <v>0.27</v>
      </c>
      <c r="D203" s="7">
        <v>0.29000000000000004</v>
      </c>
      <c r="E203" s="33">
        <f t="shared" si="97"/>
        <v>0.82714799999999999</v>
      </c>
      <c r="F203" s="33">
        <f t="shared" ref="F203:F216" si="98">E203/3</f>
        <v>0.27571600000000002</v>
      </c>
      <c r="G203" s="28"/>
      <c r="H203" s="25" t="s">
        <v>25</v>
      </c>
      <c r="I203" s="25" t="s">
        <v>26</v>
      </c>
      <c r="J203" s="25" t="s">
        <v>27</v>
      </c>
      <c r="K203" s="25" t="s">
        <v>28</v>
      </c>
      <c r="L203" s="25" t="s">
        <v>29</v>
      </c>
      <c r="M203" s="25" t="s">
        <v>30</v>
      </c>
      <c r="N203" s="32"/>
      <c r="O203" s="30">
        <v>2</v>
      </c>
      <c r="P203" s="33">
        <f>SUM(F211:F219)/9</f>
        <v>0.22222222222222221</v>
      </c>
      <c r="Q203" s="31" t="e">
        <f>RANK(P203,P$9:P$10,0)</f>
        <v>#N/A</v>
      </c>
      <c r="S203" s="26">
        <f>P203*1835</f>
        <v>407.77777777777777</v>
      </c>
      <c r="T203" s="26"/>
      <c r="U203" s="26"/>
    </row>
    <row r="204" spans="1:21" x14ac:dyDescent="0.25">
      <c r="A204" s="27" t="s">
        <v>31</v>
      </c>
      <c r="B204" s="7">
        <v>0.27</v>
      </c>
      <c r="C204" s="7">
        <v>0.24000000000000002</v>
      </c>
      <c r="D204" s="7">
        <v>0.26</v>
      </c>
      <c r="E204" s="33">
        <f t="shared" si="97"/>
        <v>0.77</v>
      </c>
      <c r="F204" s="33">
        <f t="shared" si="98"/>
        <v>0.25666666666666665</v>
      </c>
      <c r="G204" s="28" t="s">
        <v>32</v>
      </c>
      <c r="H204" s="28">
        <f>B200-1</f>
        <v>2</v>
      </c>
      <c r="I204" s="28">
        <f>D223</f>
        <v>4.429831259287198E-4</v>
      </c>
      <c r="J204" s="28">
        <f>I204/H204</f>
        <v>2.214915629643599E-4</v>
      </c>
      <c r="K204" s="28">
        <f>J204/$J$16</f>
        <v>2.3343274109259488E-2</v>
      </c>
      <c r="L204" s="28">
        <f>FINV(0.05,H204,$H$16)</f>
        <v>3.275897990672394</v>
      </c>
      <c r="M204" s="28" t="str">
        <f>IF(K204&gt;=L204, "S", "NS")</f>
        <v>NS</v>
      </c>
      <c r="N204" s="21"/>
      <c r="O204" s="25" t="s">
        <v>33</v>
      </c>
      <c r="P204" s="54">
        <f>SQRT(J209/(3*9))</f>
        <v>3.5579291504447478E-3</v>
      </c>
      <c r="S204" s="26"/>
      <c r="T204" s="26"/>
      <c r="U204" s="26"/>
    </row>
    <row r="205" spans="1:21" x14ac:dyDescent="0.25">
      <c r="A205" s="27" t="s">
        <v>34</v>
      </c>
      <c r="B205" s="7">
        <v>0.24000000000000002</v>
      </c>
      <c r="C205" s="7">
        <v>0.24</v>
      </c>
      <c r="D205" s="7">
        <v>0.25</v>
      </c>
      <c r="E205" s="33">
        <f t="shared" si="97"/>
        <v>0.73</v>
      </c>
      <c r="F205" s="33">
        <f t="shared" si="98"/>
        <v>0.24333333333333332</v>
      </c>
      <c r="G205" s="28" t="s">
        <v>35</v>
      </c>
      <c r="H205" s="28">
        <f>D199-1</f>
        <v>17</v>
      </c>
      <c r="I205" s="28">
        <f>B224</f>
        <v>6.9620981110815716E-2</v>
      </c>
      <c r="J205" s="28">
        <f t="shared" ref="J205:J209" si="99">I205/H205</f>
        <v>4.0953518300479832E-3</v>
      </c>
      <c r="K205" s="28">
        <f>J205/$J$16</f>
        <v>0.43161427488797993</v>
      </c>
      <c r="L205" s="28">
        <f>FINV(0.05,H205,$H$16)</f>
        <v>1.9332068318040869</v>
      </c>
      <c r="M205" s="34" t="str">
        <f t="shared" ref="M205" si="100">IF(K205&gt;=L205, "S", "NS")</f>
        <v>NS</v>
      </c>
      <c r="N205" s="25" t="s">
        <v>36</v>
      </c>
      <c r="O205" s="25" t="s">
        <v>37</v>
      </c>
      <c r="P205" s="54">
        <f>SQRT((2*J209)/(3*9))*L210</f>
        <v>1.0225587100719993E-2</v>
      </c>
      <c r="S205" s="26"/>
      <c r="T205" s="26"/>
      <c r="U205" s="26"/>
    </row>
    <row r="206" spans="1:21" x14ac:dyDescent="0.25">
      <c r="A206" s="27" t="s">
        <v>38</v>
      </c>
      <c r="B206" s="7">
        <v>0.29747199999999996</v>
      </c>
      <c r="C206" s="7">
        <v>0.29000000000000004</v>
      </c>
      <c r="D206" s="7">
        <v>0.28000000000000003</v>
      </c>
      <c r="E206" s="33">
        <f t="shared" si="97"/>
        <v>0.86747200000000002</v>
      </c>
      <c r="F206" s="33">
        <f t="shared" si="98"/>
        <v>0.28915733333333332</v>
      </c>
      <c r="G206" s="28" t="s">
        <v>39</v>
      </c>
      <c r="H206" s="28">
        <f>B198-1</f>
        <v>1</v>
      </c>
      <c r="I206" s="28">
        <f>(SUM(E202:E210)^2+SUM(E211:E219)^2)/27-B222</f>
        <v>1.9063958229629918E-2</v>
      </c>
      <c r="J206" s="28">
        <f t="shared" si="99"/>
        <v>1.9063958229629918E-2</v>
      </c>
      <c r="K206" s="28">
        <f>J206/$J$16</f>
        <v>2.00917451033262</v>
      </c>
      <c r="L206" s="28">
        <f>FINV(0.05,H206,$H$16)</f>
        <v>4.1300177456520188</v>
      </c>
      <c r="M206" s="28" t="str">
        <f>IF(K206&gt;=L206, "S", "NS")</f>
        <v>NS</v>
      </c>
      <c r="N206" s="21"/>
      <c r="O206" s="30">
        <v>1</v>
      </c>
      <c r="P206" s="33">
        <f>(F202+F211)/2</f>
        <v>0.17333333333333334</v>
      </c>
      <c r="Q206" s="31" t="e">
        <f>RANK(P206,P$13:P$21,0)</f>
        <v>#N/A</v>
      </c>
      <c r="R206" s="35">
        <v>9</v>
      </c>
      <c r="S206" s="36">
        <f>P206*1835</f>
        <v>318.06666666666666</v>
      </c>
      <c r="T206" s="36"/>
      <c r="U206" s="36"/>
    </row>
    <row r="207" spans="1:21" x14ac:dyDescent="0.25">
      <c r="A207" s="27" t="s">
        <v>40</v>
      </c>
      <c r="B207" s="7">
        <v>0.28000000000000003</v>
      </c>
      <c r="C207" s="7">
        <v>0.28999999999999998</v>
      </c>
      <c r="D207" s="7">
        <v>0.29000000000000004</v>
      </c>
      <c r="E207" s="33">
        <f t="shared" si="97"/>
        <v>0.8600000000000001</v>
      </c>
      <c r="F207" s="33">
        <f t="shared" si="98"/>
        <v>0.28666666666666668</v>
      </c>
      <c r="G207" s="28" t="s">
        <v>41</v>
      </c>
      <c r="H207" s="28">
        <f>B199-1</f>
        <v>8</v>
      </c>
      <c r="I207" s="28">
        <f>((E202+E211)^2+(E203+E212)^2+(E204+E213)^2+(E205+E214)^2+(E206+E215)^2+(E207+E216)^2+(E208+E217)^2+(E209+E218)^2+(E210+E219)^2/6)-B222</f>
        <v>14.334414637569481</v>
      </c>
      <c r="J207" s="28">
        <f t="shared" si="99"/>
        <v>1.7918018296961851</v>
      </c>
      <c r="K207" s="28">
        <f>J207/$J$16</f>
        <v>188.84024610364514</v>
      </c>
      <c r="L207" s="28">
        <f>FINV(0.05,H207,$H$16)</f>
        <v>2.2253399674380931</v>
      </c>
      <c r="M207" s="28" t="str">
        <f>IF(K207&gt;=L207, "S", "NS")</f>
        <v>S</v>
      </c>
      <c r="N207" s="21"/>
      <c r="O207" s="30">
        <v>2</v>
      </c>
      <c r="P207" s="33">
        <f t="shared" ref="P207:P214" si="101">(F203+F212)/2</f>
        <v>0.24619133333333335</v>
      </c>
      <c r="Q207" s="31" t="e">
        <f t="shared" ref="Q207:Q214" si="102">RANK(P207,P$13:P$21,0)</f>
        <v>#N/A</v>
      </c>
      <c r="R207" s="37">
        <v>5</v>
      </c>
      <c r="S207" s="36">
        <f t="shared" ref="S207:S214" si="103">P207*1835</f>
        <v>451.76109666666667</v>
      </c>
      <c r="T207" s="26"/>
      <c r="U207" s="26"/>
    </row>
    <row r="208" spans="1:21" x14ac:dyDescent="0.25">
      <c r="A208" s="27" t="s">
        <v>42</v>
      </c>
      <c r="B208" s="7">
        <v>0.27</v>
      </c>
      <c r="C208" s="7">
        <v>0.24000000000000002</v>
      </c>
      <c r="D208" s="7">
        <v>0.26</v>
      </c>
      <c r="E208" s="33">
        <f t="shared" si="97"/>
        <v>0.77</v>
      </c>
      <c r="F208" s="33">
        <f t="shared" si="98"/>
        <v>0.25666666666666665</v>
      </c>
      <c r="G208" s="38" t="s">
        <v>43</v>
      </c>
      <c r="H208" s="28">
        <f>H206*H207</f>
        <v>8</v>
      </c>
      <c r="I208" s="28">
        <f>I205-(I206+I207)</f>
        <v>-14.283857614688294</v>
      </c>
      <c r="J208" s="28">
        <f t="shared" si="99"/>
        <v>-1.7854822018360368</v>
      </c>
      <c r="K208" s="39">
        <f>J208/$J$16</f>
        <v>-188.17421258329975</v>
      </c>
      <c r="L208" s="28">
        <f>FINV(0.05,H208,$H$16)</f>
        <v>2.2253399674380931</v>
      </c>
      <c r="M208" s="28" t="str">
        <f t="shared" ref="M208" si="104">IF(K208&gt;=L208, "S", "NS")</f>
        <v>NS</v>
      </c>
      <c r="N208" s="21"/>
      <c r="O208" s="30">
        <v>3</v>
      </c>
      <c r="P208" s="33">
        <f t="shared" si="101"/>
        <v>0.26833333333333331</v>
      </c>
      <c r="Q208" s="31" t="e">
        <f t="shared" si="102"/>
        <v>#N/A</v>
      </c>
      <c r="R208" s="37">
        <v>2</v>
      </c>
      <c r="S208" s="36">
        <f t="shared" si="103"/>
        <v>492.39166666666665</v>
      </c>
      <c r="T208" s="26"/>
      <c r="U208" s="26"/>
    </row>
    <row r="209" spans="1:21" x14ac:dyDescent="0.25">
      <c r="A209" s="27" t="s">
        <v>44</v>
      </c>
      <c r="B209" s="7">
        <v>0.27</v>
      </c>
      <c r="C209" s="7">
        <v>0.29000000000000004</v>
      </c>
      <c r="D209" s="7">
        <v>0.28000000000000003</v>
      </c>
      <c r="E209" s="33">
        <f t="shared" si="97"/>
        <v>0.84000000000000008</v>
      </c>
      <c r="F209" s="33">
        <f t="shared" si="98"/>
        <v>0.28000000000000003</v>
      </c>
      <c r="G209" s="40" t="s">
        <v>45</v>
      </c>
      <c r="H209" s="28">
        <f>((B200-1)*(B198*B199-1))</f>
        <v>34</v>
      </c>
      <c r="I209" s="28">
        <f>D224</f>
        <v>1.1620833332738556E-2</v>
      </c>
      <c r="J209" s="28">
        <f t="shared" si="99"/>
        <v>3.4178921566878107E-4</v>
      </c>
      <c r="O209" s="30">
        <v>4</v>
      </c>
      <c r="P209" s="33">
        <f t="shared" si="101"/>
        <v>0.23666666666666664</v>
      </c>
      <c r="Q209" s="31" t="e">
        <f t="shared" si="102"/>
        <v>#N/A</v>
      </c>
      <c r="R209" s="37">
        <v>7</v>
      </c>
      <c r="S209" s="36">
        <f t="shared" si="103"/>
        <v>434.2833333333333</v>
      </c>
      <c r="T209" s="26"/>
      <c r="U209" s="26"/>
    </row>
    <row r="210" spans="1:21" x14ac:dyDescent="0.25">
      <c r="A210" s="27" t="s">
        <v>46</v>
      </c>
      <c r="B210" s="7">
        <v>0.26</v>
      </c>
      <c r="C210" s="7">
        <v>0.22</v>
      </c>
      <c r="D210" s="7">
        <v>0.29000000000000004</v>
      </c>
      <c r="E210" s="33">
        <f t="shared" si="97"/>
        <v>0.77</v>
      </c>
      <c r="F210" s="33">
        <f t="shared" si="98"/>
        <v>0.25666666666666665</v>
      </c>
      <c r="G210" s="39" t="s">
        <v>20</v>
      </c>
      <c r="H210" s="28">
        <f>SUM(H204:H209)-H205</f>
        <v>53</v>
      </c>
      <c r="I210" s="28">
        <f>B223</f>
        <v>8.1684797569482992E-2</v>
      </c>
      <c r="K210" s="28" t="s">
        <v>47</v>
      </c>
      <c r="L210" s="16">
        <f>TINV(0.05,34)</f>
        <v>2.0322445093177191</v>
      </c>
      <c r="O210" s="30">
        <v>5</v>
      </c>
      <c r="P210" s="33">
        <f t="shared" si="101"/>
        <v>0.25291200000000003</v>
      </c>
      <c r="Q210" s="31" t="e">
        <f t="shared" si="102"/>
        <v>#N/A</v>
      </c>
      <c r="R210" s="35">
        <v>3</v>
      </c>
      <c r="S210" s="36">
        <f t="shared" si="103"/>
        <v>464.09352000000007</v>
      </c>
      <c r="T210" s="41"/>
      <c r="U210" s="41"/>
    </row>
    <row r="211" spans="1:21" x14ac:dyDescent="0.25">
      <c r="A211" s="27" t="s">
        <v>48</v>
      </c>
      <c r="B211" s="7">
        <v>0.19999999999999998</v>
      </c>
      <c r="C211" s="7">
        <v>0.16</v>
      </c>
      <c r="D211" s="7">
        <v>0.1</v>
      </c>
      <c r="E211" s="33">
        <f t="shared" si="97"/>
        <v>0.45999999999999996</v>
      </c>
      <c r="F211" s="33">
        <f t="shared" si="98"/>
        <v>0.15333333333333332</v>
      </c>
      <c r="G211" s="42" t="s">
        <v>33</v>
      </c>
      <c r="H211" s="28">
        <f>SQRT(J209/3)</f>
        <v>1.0673787451334243E-2</v>
      </c>
      <c r="O211" s="30">
        <v>6</v>
      </c>
      <c r="P211" s="33">
        <f t="shared" si="101"/>
        <v>0.27166666666666667</v>
      </c>
      <c r="Q211" s="31" t="e">
        <f t="shared" si="102"/>
        <v>#N/A</v>
      </c>
      <c r="R211" s="37">
        <v>1</v>
      </c>
      <c r="S211" s="36">
        <f t="shared" si="103"/>
        <v>498.50833333333333</v>
      </c>
      <c r="T211" s="41"/>
      <c r="U211" s="41"/>
    </row>
    <row r="212" spans="1:21" x14ac:dyDescent="0.25">
      <c r="A212" s="27" t="s">
        <v>49</v>
      </c>
      <c r="B212" s="7">
        <v>0.21</v>
      </c>
      <c r="C212" s="7">
        <v>0.22</v>
      </c>
      <c r="D212" s="7">
        <v>0.22</v>
      </c>
      <c r="E212" s="33">
        <f t="shared" si="97"/>
        <v>0.65</v>
      </c>
      <c r="F212" s="33">
        <f t="shared" si="98"/>
        <v>0.21666666666666667</v>
      </c>
      <c r="G212" s="42" t="s">
        <v>37</v>
      </c>
      <c r="H212" s="28">
        <f>(SQRT((2*J209)/3))*L210</f>
        <v>3.0676761302159978E-2</v>
      </c>
      <c r="O212" s="30">
        <v>7</v>
      </c>
      <c r="P212" s="33">
        <f t="shared" si="101"/>
        <v>0.24333333333333332</v>
      </c>
      <c r="Q212" s="31" t="e">
        <f t="shared" si="102"/>
        <v>#N/A</v>
      </c>
      <c r="R212" s="37">
        <v>6</v>
      </c>
      <c r="S212" s="36">
        <f t="shared" si="103"/>
        <v>446.51666666666665</v>
      </c>
      <c r="T212" s="41"/>
      <c r="U212" s="41"/>
    </row>
    <row r="213" spans="1:21" x14ac:dyDescent="0.25">
      <c r="A213" s="27" t="s">
        <v>50</v>
      </c>
      <c r="B213" s="7">
        <v>0.29000000000000004</v>
      </c>
      <c r="C213" s="7">
        <v>0.28000000000000003</v>
      </c>
      <c r="D213" s="7">
        <v>0.27</v>
      </c>
      <c r="E213" s="33">
        <f t="shared" si="97"/>
        <v>0.84000000000000008</v>
      </c>
      <c r="F213" s="33">
        <f t="shared" si="98"/>
        <v>0.28000000000000003</v>
      </c>
      <c r="G213" s="42" t="s">
        <v>51</v>
      </c>
      <c r="H213" s="28">
        <f>((SQRT(J209))/F220)*100</f>
        <v>7.670813880426083</v>
      </c>
      <c r="O213" s="30">
        <v>8</v>
      </c>
      <c r="P213" s="33">
        <f t="shared" si="101"/>
        <v>0.2466666666666667</v>
      </c>
      <c r="Q213" s="31" t="e">
        <f t="shared" si="102"/>
        <v>#N/A</v>
      </c>
      <c r="R213" s="35">
        <v>4</v>
      </c>
      <c r="S213" s="36">
        <f t="shared" si="103"/>
        <v>452.63333333333338</v>
      </c>
      <c r="T213" s="41"/>
      <c r="U213" s="41"/>
    </row>
    <row r="214" spans="1:21" x14ac:dyDescent="0.25">
      <c r="A214" s="27" t="s">
        <v>52</v>
      </c>
      <c r="B214" s="7">
        <v>0.23</v>
      </c>
      <c r="C214" s="7">
        <v>0.24</v>
      </c>
      <c r="D214" s="7">
        <v>0.22</v>
      </c>
      <c r="E214" s="33">
        <f t="shared" si="97"/>
        <v>0.69</v>
      </c>
      <c r="F214" s="33">
        <f t="shared" si="98"/>
        <v>0.22999999999999998</v>
      </c>
      <c r="O214" s="30">
        <v>9</v>
      </c>
      <c r="P214" s="33">
        <f t="shared" si="101"/>
        <v>0.22999999999999998</v>
      </c>
      <c r="Q214" s="31" t="e">
        <f t="shared" si="102"/>
        <v>#N/A</v>
      </c>
      <c r="R214" s="37">
        <v>8</v>
      </c>
      <c r="S214" s="36">
        <f t="shared" si="103"/>
        <v>422.04999999999995</v>
      </c>
      <c r="T214" s="41"/>
      <c r="U214" s="41"/>
    </row>
    <row r="215" spans="1:21" x14ac:dyDescent="0.25">
      <c r="A215" s="27" t="s">
        <v>53</v>
      </c>
      <c r="B215" s="7">
        <v>0.22</v>
      </c>
      <c r="C215" s="7">
        <v>0.22</v>
      </c>
      <c r="D215" s="7">
        <v>0.21</v>
      </c>
      <c r="E215" s="33">
        <f t="shared" si="97"/>
        <v>0.65</v>
      </c>
      <c r="F215" s="33">
        <f t="shared" si="98"/>
        <v>0.21666666666666667</v>
      </c>
      <c r="H215" s="16" t="s">
        <v>54</v>
      </c>
      <c r="O215" s="25" t="s">
        <v>33</v>
      </c>
      <c r="P215" s="33">
        <f>SQRT(J209/(3*2))</f>
        <v>7.5475074877823191E-3</v>
      </c>
      <c r="Q215" s="31"/>
      <c r="S215" s="41"/>
      <c r="T215" s="41"/>
      <c r="U215" s="41"/>
    </row>
    <row r="216" spans="1:21" x14ac:dyDescent="0.25">
      <c r="A216" s="27" t="s">
        <v>55</v>
      </c>
      <c r="B216" s="7">
        <v>0.26</v>
      </c>
      <c r="C216" s="7">
        <v>0.23</v>
      </c>
      <c r="D216" s="7">
        <v>0.28000000000000003</v>
      </c>
      <c r="E216" s="33">
        <f t="shared" si="97"/>
        <v>0.77</v>
      </c>
      <c r="F216" s="33">
        <f t="shared" si="98"/>
        <v>0.25666666666666665</v>
      </c>
      <c r="G216" s="43">
        <v>1</v>
      </c>
      <c r="H216" s="16">
        <f>F202-F211</f>
        <v>4.0000000000000008E-2</v>
      </c>
      <c r="I216" s="46">
        <f>B202-0.01</f>
        <v>0.18999999999999997</v>
      </c>
      <c r="J216" s="46">
        <f t="shared" ref="J216:K216" si="105">C202-0.01</f>
        <v>0.17</v>
      </c>
      <c r="K216" s="46">
        <f t="shared" si="105"/>
        <v>0.18999999999999997</v>
      </c>
      <c r="N216" s="25" t="s">
        <v>41</v>
      </c>
      <c r="O216" s="25" t="s">
        <v>37</v>
      </c>
      <c r="P216" s="33">
        <f>SQRT((2*J209)/(3*2))*L210</f>
        <v>2.1691745941598384E-2</v>
      </c>
      <c r="Q216" s="31"/>
      <c r="S216" s="41"/>
      <c r="T216" s="41"/>
      <c r="U216" s="41"/>
    </row>
    <row r="217" spans="1:21" x14ac:dyDescent="0.25">
      <c r="A217" s="27" t="s">
        <v>56</v>
      </c>
      <c r="B217" s="7">
        <v>0.22</v>
      </c>
      <c r="C217" s="7">
        <v>0.23</v>
      </c>
      <c r="D217" s="7">
        <v>0.24</v>
      </c>
      <c r="E217" s="33">
        <f t="shared" si="97"/>
        <v>0.69</v>
      </c>
      <c r="F217" s="33">
        <f>E217/3</f>
        <v>0.22999999999999998</v>
      </c>
      <c r="G217" s="43">
        <v>2</v>
      </c>
      <c r="H217" s="16">
        <f t="shared" ref="H217:H224" si="106">F203-F212</f>
        <v>5.9049333333333343E-2</v>
      </c>
      <c r="I217" s="46">
        <f t="shared" ref="I217:I224" si="107">B203-0.01</f>
        <v>0.25714799999999993</v>
      </c>
      <c r="J217" s="46">
        <f t="shared" ref="J217:J224" si="108">C203-0.01</f>
        <v>0.26</v>
      </c>
      <c r="K217" s="46">
        <f t="shared" ref="K217:K224" si="109">D203-0.01</f>
        <v>0.28000000000000003</v>
      </c>
      <c r="Q217" s="31"/>
      <c r="S217" s="41"/>
      <c r="T217" s="41"/>
      <c r="U217" s="41"/>
    </row>
    <row r="218" spans="1:21" x14ac:dyDescent="0.25">
      <c r="A218" s="27" t="s">
        <v>57</v>
      </c>
      <c r="B218" s="7">
        <v>0.21</v>
      </c>
      <c r="C218" s="7">
        <v>0.23</v>
      </c>
      <c r="D218" s="7">
        <v>0.19999999999999998</v>
      </c>
      <c r="E218" s="33">
        <f t="shared" si="97"/>
        <v>0.64</v>
      </c>
      <c r="F218" s="33">
        <f t="shared" ref="F218:F219" si="110">E218/3</f>
        <v>0.21333333333333335</v>
      </c>
      <c r="G218" s="43">
        <v>3</v>
      </c>
      <c r="H218" s="16">
        <f t="shared" si="106"/>
        <v>-2.3333333333333373E-2</v>
      </c>
      <c r="I218" s="46">
        <f t="shared" si="107"/>
        <v>0.26</v>
      </c>
      <c r="J218" s="46">
        <f t="shared" si="108"/>
        <v>0.23</v>
      </c>
      <c r="K218" s="46">
        <f t="shared" si="109"/>
        <v>0.25</v>
      </c>
      <c r="S218" s="41"/>
      <c r="T218" s="41"/>
      <c r="U218" s="41"/>
    </row>
    <row r="219" spans="1:21" x14ac:dyDescent="0.25">
      <c r="A219" s="27" t="s">
        <v>58</v>
      </c>
      <c r="B219" s="7">
        <v>0.2</v>
      </c>
      <c r="C219" s="7">
        <v>0.2</v>
      </c>
      <c r="D219" s="7">
        <v>0.21</v>
      </c>
      <c r="E219" s="33">
        <f t="shared" si="97"/>
        <v>0.61</v>
      </c>
      <c r="F219" s="33">
        <f t="shared" si="110"/>
        <v>0.20333333333333334</v>
      </c>
      <c r="G219" s="43">
        <v>4</v>
      </c>
      <c r="H219" s="16">
        <f t="shared" si="106"/>
        <v>1.3333333333333336E-2</v>
      </c>
      <c r="I219" s="46">
        <f t="shared" si="107"/>
        <v>0.23</v>
      </c>
      <c r="J219" s="46">
        <f t="shared" si="108"/>
        <v>0.22999999999999998</v>
      </c>
      <c r="K219" s="46">
        <f t="shared" si="109"/>
        <v>0.24</v>
      </c>
    </row>
    <row r="220" spans="1:21" x14ac:dyDescent="0.25">
      <c r="A220" s="25" t="s">
        <v>20</v>
      </c>
      <c r="B220" s="28">
        <f>SUM(B202:B219)</f>
        <v>4.3946200000000006</v>
      </c>
      <c r="C220" s="28">
        <f>SUM(C202:C219)</f>
        <v>4.2700000000000014</v>
      </c>
      <c r="D220" s="28">
        <f>SUM(D202:D219)</f>
        <v>4.3500000000000014</v>
      </c>
      <c r="E220" s="28">
        <f>SUM(E202:E219)</f>
        <v>13.014619999999997</v>
      </c>
      <c r="F220" s="28">
        <f>AVERAGE(B202:D219)</f>
        <v>0.24101148148148152</v>
      </c>
      <c r="G220" s="43">
        <v>5</v>
      </c>
      <c r="H220" s="16">
        <f t="shared" si="106"/>
        <v>7.2490666666666648E-2</v>
      </c>
      <c r="I220" s="46">
        <f t="shared" si="107"/>
        <v>0.28747199999999995</v>
      </c>
      <c r="J220" s="46">
        <f t="shared" si="108"/>
        <v>0.28000000000000003</v>
      </c>
      <c r="K220" s="46">
        <f t="shared" si="109"/>
        <v>0.27</v>
      </c>
    </row>
    <row r="221" spans="1:21" x14ac:dyDescent="0.25">
      <c r="A221" s="25" t="s">
        <v>11</v>
      </c>
      <c r="B221" s="28">
        <f>B220/18</f>
        <v>0.24414555555555559</v>
      </c>
      <c r="C221" s="28">
        <f>C220/18</f>
        <v>0.23722222222222231</v>
      </c>
      <c r="D221" s="28">
        <f>D220/18</f>
        <v>0.24166666666666675</v>
      </c>
      <c r="G221" s="43">
        <v>6</v>
      </c>
      <c r="H221" s="16">
        <f t="shared" si="106"/>
        <v>3.0000000000000027E-2</v>
      </c>
      <c r="I221" s="46">
        <f t="shared" si="107"/>
        <v>0.27</v>
      </c>
      <c r="J221" s="46">
        <f t="shared" si="108"/>
        <v>0.27999999999999997</v>
      </c>
      <c r="K221" s="46">
        <f t="shared" si="109"/>
        <v>0.28000000000000003</v>
      </c>
    </row>
    <row r="222" spans="1:21" x14ac:dyDescent="0.25">
      <c r="A222" s="25" t="s">
        <v>59</v>
      </c>
      <c r="B222" s="28">
        <f>(E220*E220)/54</f>
        <v>3.1366728471185175</v>
      </c>
      <c r="C222" s="28"/>
      <c r="D222" s="28"/>
      <c r="G222" s="43">
        <v>7</v>
      </c>
      <c r="H222" s="16">
        <f t="shared" si="106"/>
        <v>2.6666666666666672E-2</v>
      </c>
      <c r="I222" s="46">
        <f t="shared" si="107"/>
        <v>0.26</v>
      </c>
      <c r="J222" s="46">
        <f t="shared" si="108"/>
        <v>0.23</v>
      </c>
      <c r="K222" s="46">
        <f t="shared" si="109"/>
        <v>0.25</v>
      </c>
    </row>
    <row r="223" spans="1:21" x14ac:dyDescent="0.25">
      <c r="A223" s="25" t="s">
        <v>60</v>
      </c>
      <c r="B223" s="28">
        <f>SUMSQ(B202:D219)-B222</f>
        <v>8.1684797569482992E-2</v>
      </c>
      <c r="C223" s="25" t="s">
        <v>61</v>
      </c>
      <c r="D223" s="28">
        <f>(SUMSQ(B220:D220)/18)-B222</f>
        <v>4.429831259287198E-4</v>
      </c>
      <c r="G223" s="43">
        <v>8</v>
      </c>
      <c r="H223" s="16">
        <f t="shared" si="106"/>
        <v>6.666666666666668E-2</v>
      </c>
      <c r="I223" s="46">
        <f t="shared" si="107"/>
        <v>0.26</v>
      </c>
      <c r="J223" s="46">
        <f t="shared" si="108"/>
        <v>0.28000000000000003</v>
      </c>
      <c r="K223" s="46">
        <f t="shared" si="109"/>
        <v>0.27</v>
      </c>
    </row>
    <row r="224" spans="1:21" x14ac:dyDescent="0.25">
      <c r="A224" s="25" t="s">
        <v>62</v>
      </c>
      <c r="B224" s="28">
        <f>(SUMSQ(E202:E219)/3)-B222</f>
        <v>6.9620981110815716E-2</v>
      </c>
      <c r="C224" s="25" t="s">
        <v>63</v>
      </c>
      <c r="D224" s="28">
        <f>B223-B224-D223</f>
        <v>1.1620833332738556E-2</v>
      </c>
      <c r="G224" s="43">
        <v>9</v>
      </c>
      <c r="H224" s="16">
        <f t="shared" si="106"/>
        <v>5.3333333333333316E-2</v>
      </c>
      <c r="I224" s="46">
        <f t="shared" si="107"/>
        <v>0.25</v>
      </c>
      <c r="J224" s="46">
        <f t="shared" si="108"/>
        <v>0.21</v>
      </c>
      <c r="K224" s="46">
        <f t="shared" si="109"/>
        <v>0.28000000000000003</v>
      </c>
    </row>
    <row r="225" spans="1:18" x14ac:dyDescent="0.25">
      <c r="H225" s="27" t="s">
        <v>50</v>
      </c>
      <c r="I225" s="46">
        <f>B211-0.01</f>
        <v>0.18999999999999997</v>
      </c>
      <c r="J225" s="46">
        <f t="shared" ref="J225:K225" si="111">C211-0.01</f>
        <v>0.15</v>
      </c>
      <c r="K225" s="46">
        <f t="shared" si="111"/>
        <v>9.0000000000000011E-2</v>
      </c>
    </row>
    <row r="226" spans="1:18" x14ac:dyDescent="0.25">
      <c r="H226" s="27" t="s">
        <v>52</v>
      </c>
      <c r="I226" s="46">
        <f t="shared" ref="I226:I233" si="112">B212-0.01</f>
        <v>0.19999999999999998</v>
      </c>
      <c r="J226" s="46">
        <f t="shared" ref="J226:J233" si="113">C212-0.01</f>
        <v>0.21</v>
      </c>
      <c r="K226" s="46">
        <f t="shared" ref="K226:K233" si="114">D212-0.01</f>
        <v>0.21</v>
      </c>
    </row>
    <row r="227" spans="1:18" x14ac:dyDescent="0.25">
      <c r="H227" s="27" t="s">
        <v>53</v>
      </c>
      <c r="I227" s="46">
        <f t="shared" si="112"/>
        <v>0.28000000000000003</v>
      </c>
      <c r="J227" s="46">
        <f t="shared" si="113"/>
        <v>0.27</v>
      </c>
      <c r="K227" s="46">
        <f t="shared" si="114"/>
        <v>0.26</v>
      </c>
    </row>
    <row r="228" spans="1:18" x14ac:dyDescent="0.25">
      <c r="C228" s="51"/>
      <c r="H228" s="27" t="s">
        <v>55</v>
      </c>
      <c r="I228" s="46">
        <f t="shared" si="112"/>
        <v>0.22</v>
      </c>
      <c r="J228" s="46">
        <f t="shared" si="113"/>
        <v>0.22999999999999998</v>
      </c>
      <c r="K228" s="46">
        <f t="shared" si="114"/>
        <v>0.21</v>
      </c>
    </row>
    <row r="229" spans="1:18" ht="15.75" x14ac:dyDescent="0.25">
      <c r="C229" s="50">
        <v>2020</v>
      </c>
      <c r="H229" s="27" t="s">
        <v>56</v>
      </c>
      <c r="I229" s="46">
        <f t="shared" si="112"/>
        <v>0.21</v>
      </c>
      <c r="J229" s="46">
        <f t="shared" si="113"/>
        <v>0.21</v>
      </c>
      <c r="K229" s="46">
        <f t="shared" si="114"/>
        <v>0.19999999999999998</v>
      </c>
    </row>
    <row r="230" spans="1:18" x14ac:dyDescent="0.25">
      <c r="A230" s="19" t="s">
        <v>13</v>
      </c>
      <c r="B230" s="20">
        <v>2</v>
      </c>
      <c r="C230" s="21"/>
      <c r="D230" s="21"/>
      <c r="E230" s="21"/>
      <c r="F230" s="21"/>
      <c r="G230" s="21"/>
      <c r="H230" s="27" t="s">
        <v>57</v>
      </c>
      <c r="I230" s="46">
        <f t="shared" si="112"/>
        <v>0.25</v>
      </c>
      <c r="J230" s="46">
        <f t="shared" si="113"/>
        <v>0.22</v>
      </c>
      <c r="K230" s="46">
        <f t="shared" si="114"/>
        <v>0.27</v>
      </c>
      <c r="L230" s="21"/>
      <c r="M230" s="22"/>
      <c r="N230" s="22"/>
      <c r="O230" s="21"/>
      <c r="P230" s="21"/>
    </row>
    <row r="231" spans="1:18" x14ac:dyDescent="0.25">
      <c r="A231" s="19" t="s">
        <v>14</v>
      </c>
      <c r="B231" s="20">
        <v>9</v>
      </c>
      <c r="C231" s="21" t="s">
        <v>15</v>
      </c>
      <c r="D231" s="21">
        <v>18</v>
      </c>
      <c r="E231" s="21"/>
      <c r="F231" s="21"/>
      <c r="G231" s="21"/>
      <c r="H231" s="27" t="s">
        <v>58</v>
      </c>
      <c r="I231" s="46">
        <f t="shared" si="112"/>
        <v>0.21</v>
      </c>
      <c r="J231" s="46">
        <f t="shared" si="113"/>
        <v>0.22</v>
      </c>
      <c r="K231" s="46">
        <f t="shared" si="114"/>
        <v>0.22999999999999998</v>
      </c>
      <c r="L231" s="21"/>
      <c r="M231" s="22"/>
      <c r="N231" s="22"/>
      <c r="O231" s="21"/>
      <c r="P231" s="21"/>
    </row>
    <row r="232" spans="1:18" x14ac:dyDescent="0.25">
      <c r="A232" s="15" t="s">
        <v>16</v>
      </c>
      <c r="B232" s="23">
        <v>3</v>
      </c>
      <c r="I232" s="46">
        <f t="shared" si="112"/>
        <v>0.19999999999999998</v>
      </c>
      <c r="J232" s="46">
        <f t="shared" si="113"/>
        <v>0.22</v>
      </c>
      <c r="K232" s="46">
        <f t="shared" si="114"/>
        <v>0.18999999999999997</v>
      </c>
    </row>
    <row r="233" spans="1:18" x14ac:dyDescent="0.25">
      <c r="A233" s="24" t="s">
        <v>0</v>
      </c>
      <c r="B233" s="25" t="s">
        <v>17</v>
      </c>
      <c r="C233" s="25" t="s">
        <v>18</v>
      </c>
      <c r="D233" s="25" t="s">
        <v>19</v>
      </c>
      <c r="E233" s="25" t="s">
        <v>20</v>
      </c>
      <c r="F233" s="25" t="s">
        <v>11</v>
      </c>
      <c r="I233" s="46">
        <f t="shared" si="112"/>
        <v>0.19</v>
      </c>
      <c r="J233" s="46">
        <f t="shared" si="113"/>
        <v>0.19</v>
      </c>
      <c r="K233" s="46">
        <f t="shared" si="114"/>
        <v>0.19999999999999998</v>
      </c>
      <c r="O233" s="16" t="s">
        <v>21</v>
      </c>
      <c r="R233" s="16"/>
    </row>
    <row r="234" spans="1:18" x14ac:dyDescent="0.25">
      <c r="A234" s="27" t="s">
        <v>22</v>
      </c>
      <c r="B234" s="45">
        <v>0.18999999999999997</v>
      </c>
      <c r="C234" s="45">
        <v>0.17</v>
      </c>
      <c r="D234" s="45">
        <v>0.18999999999999997</v>
      </c>
      <c r="E234" s="28">
        <f>SUM(B234:D234)</f>
        <v>0.54999999999999993</v>
      </c>
      <c r="F234" s="28">
        <f>E234/3</f>
        <v>0.18333333333333332</v>
      </c>
      <c r="H234" s="29"/>
      <c r="I234" s="29"/>
      <c r="J234" s="29" t="s">
        <v>23</v>
      </c>
      <c r="K234" s="29"/>
      <c r="L234" s="29"/>
      <c r="M234" s="29"/>
      <c r="N234" s="29"/>
      <c r="O234" s="30">
        <v>1</v>
      </c>
      <c r="P234" s="33">
        <f>SUM(F234:F242)/9</f>
        <v>0.24980074074074071</v>
      </c>
      <c r="Q234" s="31" t="e">
        <f>RANK(P234,P$105:P$106,0)</f>
        <v>#N/A</v>
      </c>
      <c r="R234" s="16"/>
    </row>
    <row r="235" spans="1:18" x14ac:dyDescent="0.25">
      <c r="A235" s="27" t="s">
        <v>24</v>
      </c>
      <c r="B235" s="45">
        <v>0.25714799999999993</v>
      </c>
      <c r="C235" s="45">
        <v>0.26</v>
      </c>
      <c r="D235" s="45">
        <v>0.28000000000000003</v>
      </c>
      <c r="E235" s="28">
        <f t="shared" ref="E235:E251" si="115">SUM(B235:D235)</f>
        <v>0.79714799999999997</v>
      </c>
      <c r="F235" s="28">
        <f t="shared" ref="F235:F248" si="116">E235/3</f>
        <v>0.26571600000000001</v>
      </c>
      <c r="G235" s="28"/>
      <c r="H235" s="25" t="s">
        <v>25</v>
      </c>
      <c r="I235" s="25" t="s">
        <v>26</v>
      </c>
      <c r="J235" s="25" t="s">
        <v>27</v>
      </c>
      <c r="K235" s="25" t="s">
        <v>28</v>
      </c>
      <c r="L235" s="25" t="s">
        <v>29</v>
      </c>
      <c r="M235" s="25" t="s">
        <v>30</v>
      </c>
      <c r="N235" s="32"/>
      <c r="O235" s="30">
        <v>2</v>
      </c>
      <c r="P235" s="33">
        <f>SUM(F243:F251)/9</f>
        <v>0.21407407407407408</v>
      </c>
      <c r="Q235" s="31" t="e">
        <f>RANK(P235,P$105:P$106,0)</f>
        <v>#N/A</v>
      </c>
      <c r="R235" s="16"/>
    </row>
    <row r="236" spans="1:18" x14ac:dyDescent="0.25">
      <c r="A236" s="27" t="s">
        <v>31</v>
      </c>
      <c r="B236" s="45">
        <v>0.26</v>
      </c>
      <c r="C236" s="45">
        <v>0.23</v>
      </c>
      <c r="D236" s="45">
        <v>0.25</v>
      </c>
      <c r="E236" s="28">
        <f t="shared" si="115"/>
        <v>0.74</v>
      </c>
      <c r="F236" s="28">
        <f t="shared" si="116"/>
        <v>0.24666666666666667</v>
      </c>
      <c r="G236" s="28" t="s">
        <v>32</v>
      </c>
      <c r="H236" s="28">
        <f>B232-1</f>
        <v>2</v>
      </c>
      <c r="I236" s="28">
        <f>D255</f>
        <v>1.8677609037043297E-3</v>
      </c>
      <c r="J236" s="28">
        <f>I236/H236</f>
        <v>9.3388045185216484E-4</v>
      </c>
      <c r="K236" s="28">
        <f>J236/$J$16</f>
        <v>9.8422834175277335E-2</v>
      </c>
      <c r="L236" s="28">
        <f>FINV(0.05,H236,$H$16)</f>
        <v>3.275897990672394</v>
      </c>
      <c r="M236" s="28" t="str">
        <f>IF(K236&gt;=L236, "S", "NS")</f>
        <v>NS</v>
      </c>
      <c r="N236" s="21"/>
      <c r="O236" s="25" t="s">
        <v>33</v>
      </c>
      <c r="P236" s="54">
        <f>SQRT(J241/(3*9))</f>
        <v>2.7074875780089217E-3</v>
      </c>
      <c r="R236" s="16"/>
    </row>
    <row r="237" spans="1:18" x14ac:dyDescent="0.25">
      <c r="A237" s="27" t="s">
        <v>34</v>
      </c>
      <c r="B237" s="45">
        <v>0.23</v>
      </c>
      <c r="C237" s="45">
        <v>0.22</v>
      </c>
      <c r="D237" s="45">
        <v>0.25</v>
      </c>
      <c r="E237" s="28">
        <f t="shared" si="115"/>
        <v>0.7</v>
      </c>
      <c r="F237" s="28">
        <f t="shared" si="116"/>
        <v>0.23333333333333331</v>
      </c>
      <c r="G237" s="28" t="s">
        <v>35</v>
      </c>
      <c r="H237" s="28">
        <f>D231-1</f>
        <v>17</v>
      </c>
      <c r="I237" s="28">
        <f>B256</f>
        <v>7.4440203333036692E-2</v>
      </c>
      <c r="J237" s="28">
        <f t="shared" ref="J237:J241" si="117">I237/H237</f>
        <v>4.3788354901786288E-3</v>
      </c>
      <c r="K237" s="28">
        <f>J237/$J$16</f>
        <v>0.46149097400626926</v>
      </c>
      <c r="L237" s="28">
        <f>FINV(0.05,H237,$H$16)</f>
        <v>1.9332068318040869</v>
      </c>
      <c r="M237" s="34" t="str">
        <f t="shared" ref="M237" si="118">IF(K237&gt;=L237, "S", "NS")</f>
        <v>NS</v>
      </c>
      <c r="N237" s="25" t="s">
        <v>36</v>
      </c>
      <c r="O237" s="25" t="s">
        <v>37</v>
      </c>
      <c r="P237" s="54">
        <f>SQRT((2*J241)/(3*9))*L242</f>
        <v>7.7813944242219905E-3</v>
      </c>
      <c r="R237" s="16"/>
    </row>
    <row r="238" spans="1:18" x14ac:dyDescent="0.25">
      <c r="A238" s="27" t="s">
        <v>38</v>
      </c>
      <c r="B238" s="45">
        <v>0.28747199999999995</v>
      </c>
      <c r="C238" s="45">
        <v>0.28000000000000003</v>
      </c>
      <c r="D238" s="45">
        <v>0.27</v>
      </c>
      <c r="E238" s="28">
        <f t="shared" si="115"/>
        <v>0.83747199999999999</v>
      </c>
      <c r="F238" s="28">
        <f t="shared" si="116"/>
        <v>0.27915733333333331</v>
      </c>
      <c r="G238" s="28" t="s">
        <v>39</v>
      </c>
      <c r="H238" s="28">
        <f>B230-1</f>
        <v>1</v>
      </c>
      <c r="I238" s="28">
        <f>(SUM(E234:E242)^2+SUM(E243:E251)^2)/27-B254</f>
        <v>1.7231328600000317E-2</v>
      </c>
      <c r="J238" s="28">
        <f t="shared" si="117"/>
        <v>1.7231328600000317E-2</v>
      </c>
      <c r="K238" s="28">
        <f>J238/$J$16</f>
        <v>1.8160313710967559</v>
      </c>
      <c r="L238" s="28">
        <f>FINV(0.05,H238,$H$16)</f>
        <v>4.1300177456520188</v>
      </c>
      <c r="M238" s="28" t="str">
        <f>IF(K238&gt;=L238, "S", "NS")</f>
        <v>NS</v>
      </c>
      <c r="N238" s="21"/>
      <c r="O238" s="30">
        <v>1</v>
      </c>
      <c r="P238" s="33">
        <f>(F234+F243)/2</f>
        <v>0.22166666666666668</v>
      </c>
      <c r="Q238" s="31" t="e">
        <f>RANK(P238,P$109:P$117,0)</f>
        <v>#N/A</v>
      </c>
      <c r="R238" s="35">
        <v>9</v>
      </c>
    </row>
    <row r="239" spans="1:18" x14ac:dyDescent="0.25">
      <c r="A239" s="27" t="s">
        <v>40</v>
      </c>
      <c r="B239" s="45">
        <v>0.27</v>
      </c>
      <c r="C239" s="45">
        <v>0.28000000000000003</v>
      </c>
      <c r="D239" s="45">
        <v>0.28000000000000003</v>
      </c>
      <c r="E239" s="28">
        <f t="shared" si="115"/>
        <v>0.83000000000000007</v>
      </c>
      <c r="F239" s="28">
        <f t="shared" si="116"/>
        <v>0.27666666666666667</v>
      </c>
      <c r="G239" s="28" t="s">
        <v>41</v>
      </c>
      <c r="H239" s="28">
        <f>B231-1</f>
        <v>8</v>
      </c>
      <c r="I239" s="28">
        <f>((E234+E243)^2+(E235+E244)^2+(E236+E245)^2+(E237+E246)^2+(E238+E247)^2+(E239+E248)^2+(E240+E249)^2+(E241+E250)^2+(E242+E251)^2/6)-B254</f>
        <v>13.115648979791704</v>
      </c>
      <c r="J239" s="28">
        <f t="shared" si="117"/>
        <v>1.639456122473963</v>
      </c>
      <c r="K239" s="28">
        <f>J239/$J$16</f>
        <v>172.784340607915</v>
      </c>
      <c r="L239" s="28">
        <f>FINV(0.05,H239,$H$16)</f>
        <v>2.2253399674380931</v>
      </c>
      <c r="M239" s="28" t="str">
        <f>IF(K239&gt;=L239, "S", "NS")</f>
        <v>S</v>
      </c>
      <c r="N239" s="21"/>
      <c r="O239" s="30">
        <v>2</v>
      </c>
      <c r="P239" s="33">
        <f t="shared" ref="P239:P246" si="119">(F235+F244)/2</f>
        <v>0.25119133333333332</v>
      </c>
      <c r="Q239" s="31" t="e">
        <f t="shared" ref="Q239:Q246" si="120">RANK(P239,P$109:P$117,0)</f>
        <v>#N/A</v>
      </c>
      <c r="R239" s="37">
        <v>5</v>
      </c>
    </row>
    <row r="240" spans="1:18" x14ac:dyDescent="0.25">
      <c r="A240" s="27" t="s">
        <v>42</v>
      </c>
      <c r="B240" s="45">
        <v>0.26</v>
      </c>
      <c r="C240" s="45">
        <v>0.23</v>
      </c>
      <c r="D240" s="45">
        <v>0.25</v>
      </c>
      <c r="E240" s="28">
        <f t="shared" si="115"/>
        <v>0.74</v>
      </c>
      <c r="F240" s="28">
        <f t="shared" si="116"/>
        <v>0.24666666666666667</v>
      </c>
      <c r="G240" s="38" t="s">
        <v>43</v>
      </c>
      <c r="H240" s="28">
        <f>H238*H239</f>
        <v>8</v>
      </c>
      <c r="I240" s="28">
        <f>I237-(I238+I239)</f>
        <v>-13.058440105058668</v>
      </c>
      <c r="J240" s="28">
        <f t="shared" si="117"/>
        <v>-1.6323050131323336</v>
      </c>
      <c r="K240" s="39">
        <f>J240/$J$16</f>
        <v>-172.0306762095388</v>
      </c>
      <c r="L240" s="28">
        <f>FINV(0.05,H240,$H$16)</f>
        <v>2.2253399674380931</v>
      </c>
      <c r="M240" s="28" t="str">
        <f t="shared" ref="M240" si="121">IF(K240&gt;=L240, "S", "NS")</f>
        <v>NS</v>
      </c>
      <c r="N240" s="21"/>
      <c r="O240" s="30">
        <v>3</v>
      </c>
      <c r="P240" s="33">
        <f t="shared" si="119"/>
        <v>0.19333333333333336</v>
      </c>
      <c r="Q240" s="31" t="e">
        <f t="shared" si="120"/>
        <v>#N/A</v>
      </c>
      <c r="R240" s="37">
        <v>2</v>
      </c>
    </row>
    <row r="241" spans="1:18" x14ac:dyDescent="0.25">
      <c r="A241" s="27" t="s">
        <v>44</v>
      </c>
      <c r="B241" s="45">
        <v>0.26</v>
      </c>
      <c r="C241" s="45">
        <v>0.28000000000000003</v>
      </c>
      <c r="D241" s="45">
        <v>0.27</v>
      </c>
      <c r="E241" s="28">
        <f t="shared" si="115"/>
        <v>0.81</v>
      </c>
      <c r="F241" s="28">
        <f t="shared" si="116"/>
        <v>0.27</v>
      </c>
      <c r="G241" s="40" t="s">
        <v>45</v>
      </c>
      <c r="H241" s="28">
        <f>((B232-1)*(B230*B231-1))</f>
        <v>34</v>
      </c>
      <c r="I241" s="28">
        <f>D256</f>
        <v>6.7293888882966613E-3</v>
      </c>
      <c r="J241" s="28">
        <f t="shared" si="117"/>
        <v>1.9792320259696063E-4</v>
      </c>
      <c r="O241" s="30">
        <v>4</v>
      </c>
      <c r="P241" s="33">
        <f t="shared" si="119"/>
        <v>0.21499999999999997</v>
      </c>
      <c r="Q241" s="31" t="e">
        <f t="shared" si="120"/>
        <v>#N/A</v>
      </c>
      <c r="R241" s="37">
        <v>7</v>
      </c>
    </row>
    <row r="242" spans="1:18" x14ac:dyDescent="0.25">
      <c r="A242" s="27" t="s">
        <v>46</v>
      </c>
      <c r="B242" s="45">
        <v>0.25</v>
      </c>
      <c r="C242" s="45">
        <v>0.24</v>
      </c>
      <c r="D242" s="45">
        <v>0.25</v>
      </c>
      <c r="E242" s="28">
        <f t="shared" si="115"/>
        <v>0.74</v>
      </c>
      <c r="F242" s="28">
        <f t="shared" si="116"/>
        <v>0.24666666666666667</v>
      </c>
      <c r="G242" s="39" t="s">
        <v>20</v>
      </c>
      <c r="H242" s="28">
        <f>SUM(H236:H241)-H237</f>
        <v>53</v>
      </c>
      <c r="I242" s="28">
        <f>B255</f>
        <v>8.3037353125037683E-2</v>
      </c>
      <c r="K242" s="28" t="s">
        <v>47</v>
      </c>
      <c r="L242" s="16">
        <f>TINV(0.05,34)</f>
        <v>2.0322445093177191</v>
      </c>
      <c r="O242" s="30">
        <v>5</v>
      </c>
      <c r="P242" s="33">
        <f t="shared" si="119"/>
        <v>0.27124533333333334</v>
      </c>
      <c r="Q242" s="31" t="e">
        <f t="shared" si="120"/>
        <v>#N/A</v>
      </c>
      <c r="R242" s="35">
        <v>3</v>
      </c>
    </row>
    <row r="243" spans="1:18" x14ac:dyDescent="0.25">
      <c r="A243" s="27" t="s">
        <v>48</v>
      </c>
      <c r="B243" s="45">
        <v>0.25</v>
      </c>
      <c r="C243" s="45">
        <v>0.27</v>
      </c>
      <c r="D243" s="45">
        <v>0.26</v>
      </c>
      <c r="E243" s="28">
        <f t="shared" si="115"/>
        <v>0.78</v>
      </c>
      <c r="F243" s="28">
        <f t="shared" si="116"/>
        <v>0.26</v>
      </c>
      <c r="G243" s="42" t="s">
        <v>33</v>
      </c>
      <c r="H243" s="28">
        <f>SQRT(J241/3)</f>
        <v>8.1224627340267651E-3</v>
      </c>
      <c r="O243" s="30">
        <v>6</v>
      </c>
      <c r="P243" s="33">
        <f t="shared" si="119"/>
        <v>0.23333333333333334</v>
      </c>
      <c r="Q243" s="31" t="e">
        <f t="shared" si="120"/>
        <v>#N/A</v>
      </c>
      <c r="R243" s="37">
        <v>1</v>
      </c>
    </row>
    <row r="244" spans="1:18" x14ac:dyDescent="0.25">
      <c r="A244" s="27" t="s">
        <v>49</v>
      </c>
      <c r="B244" s="45">
        <v>0.24</v>
      </c>
      <c r="C244" s="45">
        <v>0.19999999999999998</v>
      </c>
      <c r="D244" s="45">
        <v>0.27</v>
      </c>
      <c r="E244" s="28">
        <f t="shared" si="115"/>
        <v>0.71</v>
      </c>
      <c r="F244" s="28">
        <f t="shared" si="116"/>
        <v>0.23666666666666666</v>
      </c>
      <c r="G244" s="42" t="s">
        <v>37</v>
      </c>
      <c r="H244" s="28">
        <f>(SQRT((2*J241)/3))*L242</f>
        <v>2.3344183272665971E-2</v>
      </c>
      <c r="O244" s="30">
        <v>7</v>
      </c>
      <c r="P244" s="33">
        <f t="shared" si="119"/>
        <v>0.22166666666666668</v>
      </c>
      <c r="Q244" s="31" t="e">
        <f t="shared" si="120"/>
        <v>#N/A</v>
      </c>
      <c r="R244" s="37">
        <v>6</v>
      </c>
    </row>
    <row r="245" spans="1:18" x14ac:dyDescent="0.25">
      <c r="A245" s="27" t="s">
        <v>50</v>
      </c>
      <c r="B245" s="45">
        <v>0.16</v>
      </c>
      <c r="C245" s="45">
        <v>0.13</v>
      </c>
      <c r="D245" s="45">
        <v>0.13</v>
      </c>
      <c r="E245" s="28">
        <f t="shared" si="115"/>
        <v>0.42000000000000004</v>
      </c>
      <c r="F245" s="28">
        <f t="shared" si="116"/>
        <v>0.14000000000000001</v>
      </c>
      <c r="G245" s="42" t="s">
        <v>51</v>
      </c>
      <c r="H245" s="28">
        <f>((SQRT(J241))/F252)*100</f>
        <v>6.0656529255788616</v>
      </c>
      <c r="O245" s="30">
        <v>8</v>
      </c>
      <c r="P245" s="33">
        <f t="shared" si="119"/>
        <v>0.25166666666666665</v>
      </c>
      <c r="Q245" s="31" t="e">
        <f t="shared" si="120"/>
        <v>#N/A</v>
      </c>
      <c r="R245" s="35">
        <v>4</v>
      </c>
    </row>
    <row r="246" spans="1:18" x14ac:dyDescent="0.25">
      <c r="A246" s="27" t="s">
        <v>52</v>
      </c>
      <c r="B246" s="45">
        <v>0.18999999999999997</v>
      </c>
      <c r="C246" s="45">
        <v>0.19999999999999998</v>
      </c>
      <c r="D246" s="45">
        <v>0.19999999999999998</v>
      </c>
      <c r="E246" s="28">
        <f t="shared" si="115"/>
        <v>0.59</v>
      </c>
      <c r="F246" s="28">
        <f t="shared" si="116"/>
        <v>0.19666666666666666</v>
      </c>
      <c r="H246" s="27" t="s">
        <v>22</v>
      </c>
      <c r="I246" s="16">
        <f>B234+7.1</f>
        <v>7.29</v>
      </c>
      <c r="J246" s="16">
        <f t="shared" ref="J246:K246" si="122">C234+7.1</f>
        <v>7.27</v>
      </c>
      <c r="K246" s="16">
        <f t="shared" si="122"/>
        <v>7.29</v>
      </c>
      <c r="O246" s="30">
        <v>9</v>
      </c>
      <c r="P246" s="33">
        <f t="shared" si="119"/>
        <v>0.22833333333333333</v>
      </c>
      <c r="Q246" s="31" t="e">
        <f t="shared" si="120"/>
        <v>#N/A</v>
      </c>
      <c r="R246" s="37">
        <v>8</v>
      </c>
    </row>
    <row r="247" spans="1:18" x14ac:dyDescent="0.25">
      <c r="A247" s="27" t="s">
        <v>53</v>
      </c>
      <c r="B247" s="45">
        <v>0.27</v>
      </c>
      <c r="C247" s="45">
        <v>0.22999999999999995</v>
      </c>
      <c r="D247" s="45">
        <v>0.28999999999999992</v>
      </c>
      <c r="E247" s="28">
        <f t="shared" si="115"/>
        <v>0.78999999999999992</v>
      </c>
      <c r="F247" s="28">
        <f t="shared" si="116"/>
        <v>0.26333333333333331</v>
      </c>
      <c r="H247" s="27" t="s">
        <v>24</v>
      </c>
      <c r="I247" s="16">
        <f t="shared" ref="I247:I263" si="123">B235+7.1</f>
        <v>7.3571479999999996</v>
      </c>
      <c r="J247" s="16">
        <f t="shared" ref="J247:J263" si="124">C235+7.1</f>
        <v>7.3599999999999994</v>
      </c>
      <c r="K247" s="16">
        <f t="shared" ref="K247:K263" si="125">D235+7.1</f>
        <v>7.38</v>
      </c>
      <c r="O247" s="25" t="s">
        <v>33</v>
      </c>
      <c r="P247" s="33">
        <f>SQRT(J241/(3*2))</f>
        <v>5.7434484791653497E-3</v>
      </c>
      <c r="Q247" s="31"/>
    </row>
    <row r="248" spans="1:18" x14ac:dyDescent="0.25">
      <c r="A248" s="27" t="s">
        <v>55</v>
      </c>
      <c r="B248" s="45">
        <v>0.2</v>
      </c>
      <c r="C248" s="45">
        <v>0.16999999999999996</v>
      </c>
      <c r="D248" s="45">
        <v>0.19999999999999998</v>
      </c>
      <c r="E248" s="28">
        <f t="shared" si="115"/>
        <v>0.56999999999999995</v>
      </c>
      <c r="F248" s="28">
        <f t="shared" si="116"/>
        <v>0.18999999999999997</v>
      </c>
      <c r="H248" s="27" t="s">
        <v>31</v>
      </c>
      <c r="I248" s="16">
        <f t="shared" si="123"/>
        <v>7.3599999999999994</v>
      </c>
      <c r="J248" s="16">
        <f t="shared" si="124"/>
        <v>7.33</v>
      </c>
      <c r="K248" s="16">
        <f t="shared" si="125"/>
        <v>7.35</v>
      </c>
      <c r="N248" s="25" t="s">
        <v>41</v>
      </c>
      <c r="O248" s="25" t="s">
        <v>37</v>
      </c>
      <c r="P248" s="33">
        <f>SQRT((2*J241)/(3*2))*L242</f>
        <v>1.6506830293363681E-2</v>
      </c>
      <c r="Q248" s="31"/>
    </row>
    <row r="249" spans="1:18" x14ac:dyDescent="0.25">
      <c r="A249" s="27" t="s">
        <v>56</v>
      </c>
      <c r="B249" s="45">
        <v>0.19999999999999998</v>
      </c>
      <c r="C249" s="45">
        <v>0.19999999999999998</v>
      </c>
      <c r="D249" s="45">
        <v>0.18999999999999997</v>
      </c>
      <c r="E249" s="28">
        <f t="shared" si="115"/>
        <v>0.59</v>
      </c>
      <c r="F249" s="28">
        <f>E249/3</f>
        <v>0.19666666666666666</v>
      </c>
      <c r="H249" s="27" t="s">
        <v>34</v>
      </c>
      <c r="I249" s="16">
        <f t="shared" si="123"/>
        <v>7.33</v>
      </c>
      <c r="J249" s="16">
        <f t="shared" si="124"/>
        <v>7.3199999999999994</v>
      </c>
      <c r="K249" s="16">
        <f t="shared" si="125"/>
        <v>7.35</v>
      </c>
      <c r="Q249" s="31"/>
    </row>
    <row r="250" spans="1:18" x14ac:dyDescent="0.25">
      <c r="A250" s="27" t="s">
        <v>57</v>
      </c>
      <c r="B250" s="45">
        <v>0.24</v>
      </c>
      <c r="C250" s="45">
        <v>0.23</v>
      </c>
      <c r="D250" s="45">
        <v>0.23</v>
      </c>
      <c r="E250" s="28">
        <f t="shared" si="115"/>
        <v>0.7</v>
      </c>
      <c r="F250" s="28">
        <f t="shared" ref="F250:F251" si="126">E250/3</f>
        <v>0.23333333333333331</v>
      </c>
      <c r="H250" s="27" t="s">
        <v>38</v>
      </c>
      <c r="I250" s="16">
        <f t="shared" si="123"/>
        <v>7.3874719999999998</v>
      </c>
      <c r="J250" s="16">
        <f t="shared" si="124"/>
        <v>7.38</v>
      </c>
      <c r="K250" s="16">
        <f t="shared" si="125"/>
        <v>7.3699999999999992</v>
      </c>
    </row>
    <row r="251" spans="1:18" x14ac:dyDescent="0.25">
      <c r="A251" s="27" t="s">
        <v>58</v>
      </c>
      <c r="B251" s="45">
        <v>0.19999999999999998</v>
      </c>
      <c r="C251" s="45">
        <v>0.21</v>
      </c>
      <c r="D251" s="45">
        <v>0.22</v>
      </c>
      <c r="E251" s="28">
        <f t="shared" si="115"/>
        <v>0.63</v>
      </c>
      <c r="F251" s="28">
        <f t="shared" si="126"/>
        <v>0.21</v>
      </c>
      <c r="H251" s="27" t="s">
        <v>40</v>
      </c>
      <c r="I251" s="16">
        <f t="shared" si="123"/>
        <v>7.3699999999999992</v>
      </c>
      <c r="J251" s="16">
        <f t="shared" si="124"/>
        <v>7.38</v>
      </c>
      <c r="K251" s="16">
        <f t="shared" si="125"/>
        <v>7.38</v>
      </c>
    </row>
    <row r="252" spans="1:18" x14ac:dyDescent="0.25">
      <c r="A252" s="25" t="s">
        <v>20</v>
      </c>
      <c r="B252" s="28">
        <f>SUM(B234:B251)</f>
        <v>4.2146200000000009</v>
      </c>
      <c r="C252" s="28">
        <f t="shared" ref="C252:D252" si="127">SUM(C234:C251)</f>
        <v>4.0300000000000011</v>
      </c>
      <c r="D252" s="28">
        <f t="shared" si="127"/>
        <v>4.28</v>
      </c>
      <c r="E252" s="28">
        <f>SUM(E234:E251)</f>
        <v>12.524620000000001</v>
      </c>
      <c r="F252" s="28">
        <f>AVERAGE(B234:D251)</f>
        <v>0.2319374074074074</v>
      </c>
      <c r="H252" s="27" t="s">
        <v>42</v>
      </c>
      <c r="I252" s="16">
        <f t="shared" si="123"/>
        <v>7.3599999999999994</v>
      </c>
      <c r="J252" s="16">
        <f t="shared" si="124"/>
        <v>7.33</v>
      </c>
      <c r="K252" s="16">
        <f t="shared" si="125"/>
        <v>7.35</v>
      </c>
    </row>
    <row r="253" spans="1:18" x14ac:dyDescent="0.25">
      <c r="A253" s="25" t="s">
        <v>11</v>
      </c>
      <c r="B253" s="28">
        <f>B252/18</f>
        <v>0.23414555555555561</v>
      </c>
      <c r="C253" s="28">
        <f>C252/18</f>
        <v>0.22388888888888894</v>
      </c>
      <c r="D253" s="28">
        <f>D252/18</f>
        <v>0.23777777777777778</v>
      </c>
      <c r="H253" s="27" t="s">
        <v>44</v>
      </c>
      <c r="I253" s="16">
        <f t="shared" si="123"/>
        <v>7.3599999999999994</v>
      </c>
      <c r="J253" s="16">
        <f t="shared" si="124"/>
        <v>7.38</v>
      </c>
      <c r="K253" s="16">
        <f t="shared" si="125"/>
        <v>7.3699999999999992</v>
      </c>
    </row>
    <row r="254" spans="1:18" x14ac:dyDescent="0.25">
      <c r="A254" s="25" t="s">
        <v>59</v>
      </c>
      <c r="B254" s="28">
        <f>(E252*E252)/54</f>
        <v>2.9049278915629633</v>
      </c>
      <c r="C254" s="28"/>
      <c r="D254" s="28"/>
      <c r="H254" s="27" t="s">
        <v>46</v>
      </c>
      <c r="I254" s="16">
        <f t="shared" si="123"/>
        <v>7.35</v>
      </c>
      <c r="J254" s="16">
        <f t="shared" si="124"/>
        <v>7.34</v>
      </c>
      <c r="K254" s="16">
        <f t="shared" si="125"/>
        <v>7.35</v>
      </c>
    </row>
    <row r="255" spans="1:18" x14ac:dyDescent="0.25">
      <c r="A255" s="25" t="s">
        <v>60</v>
      </c>
      <c r="B255" s="28">
        <f>SUMSQ(B234:D251)-B254</f>
        <v>8.3037353125037683E-2</v>
      </c>
      <c r="C255" s="25" t="s">
        <v>61</v>
      </c>
      <c r="D255" s="28">
        <f>(SUMSQ(B252:D252)/18)-B254</f>
        <v>1.8677609037043297E-3</v>
      </c>
      <c r="H255" s="27" t="s">
        <v>48</v>
      </c>
      <c r="I255" s="16">
        <f t="shared" si="123"/>
        <v>7.35</v>
      </c>
      <c r="J255" s="16">
        <f t="shared" si="124"/>
        <v>7.3699999999999992</v>
      </c>
      <c r="K255" s="16">
        <f t="shared" si="125"/>
        <v>7.3599999999999994</v>
      </c>
    </row>
    <row r="256" spans="1:18" x14ac:dyDescent="0.25">
      <c r="A256" s="25" t="s">
        <v>62</v>
      </c>
      <c r="B256" s="28">
        <f>(SUMSQ(E234:E251)/3)-B254</f>
        <v>7.4440203333036692E-2</v>
      </c>
      <c r="C256" s="25" t="s">
        <v>63</v>
      </c>
      <c r="D256" s="28">
        <f>B255-B256-D255</f>
        <v>6.7293888882966613E-3</v>
      </c>
      <c r="H256" s="27" t="s">
        <v>49</v>
      </c>
      <c r="I256" s="16">
        <f t="shared" si="123"/>
        <v>7.34</v>
      </c>
      <c r="J256" s="16">
        <f t="shared" si="124"/>
        <v>7.3</v>
      </c>
      <c r="K256" s="16">
        <f t="shared" si="125"/>
        <v>7.3699999999999992</v>
      </c>
    </row>
    <row r="257" spans="1:21" x14ac:dyDescent="0.25">
      <c r="H257" s="27" t="s">
        <v>50</v>
      </c>
      <c r="I257" s="16">
        <f t="shared" si="123"/>
        <v>7.26</v>
      </c>
      <c r="J257" s="16">
        <f t="shared" si="124"/>
        <v>7.2299999999999995</v>
      </c>
      <c r="K257" s="16">
        <f t="shared" si="125"/>
        <v>7.2299999999999995</v>
      </c>
    </row>
    <row r="258" spans="1:21" x14ac:dyDescent="0.25">
      <c r="H258" s="27" t="s">
        <v>52</v>
      </c>
      <c r="I258" s="16">
        <f t="shared" si="123"/>
        <v>7.29</v>
      </c>
      <c r="J258" s="16">
        <f t="shared" si="124"/>
        <v>7.3</v>
      </c>
      <c r="K258" s="16">
        <f t="shared" si="125"/>
        <v>7.3</v>
      </c>
    </row>
    <row r="259" spans="1:21" x14ac:dyDescent="0.25">
      <c r="H259" s="27" t="s">
        <v>53</v>
      </c>
      <c r="I259" s="16">
        <f t="shared" si="123"/>
        <v>7.3699999999999992</v>
      </c>
      <c r="J259" s="16">
        <f t="shared" si="124"/>
        <v>7.3299999999999992</v>
      </c>
      <c r="K259" s="16">
        <f t="shared" si="125"/>
        <v>7.39</v>
      </c>
    </row>
    <row r="260" spans="1:21" x14ac:dyDescent="0.25">
      <c r="H260" s="27" t="s">
        <v>55</v>
      </c>
      <c r="I260" s="16">
        <f t="shared" si="123"/>
        <v>7.3</v>
      </c>
      <c r="J260" s="16">
        <f t="shared" si="124"/>
        <v>7.27</v>
      </c>
      <c r="K260" s="16">
        <f t="shared" si="125"/>
        <v>7.3</v>
      </c>
    </row>
    <row r="261" spans="1:21" x14ac:dyDescent="0.25">
      <c r="H261" s="27" t="s">
        <v>56</v>
      </c>
      <c r="I261" s="16">
        <f t="shared" si="123"/>
        <v>7.3</v>
      </c>
      <c r="J261" s="16">
        <f t="shared" si="124"/>
        <v>7.3</v>
      </c>
      <c r="K261" s="16">
        <f t="shared" si="125"/>
        <v>7.29</v>
      </c>
    </row>
    <row r="262" spans="1:21" x14ac:dyDescent="0.25">
      <c r="H262" s="27" t="s">
        <v>57</v>
      </c>
      <c r="I262" s="16">
        <f t="shared" si="123"/>
        <v>7.34</v>
      </c>
      <c r="J262" s="16">
        <f t="shared" si="124"/>
        <v>7.33</v>
      </c>
      <c r="K262" s="16">
        <f t="shared" si="125"/>
        <v>7.33</v>
      </c>
    </row>
    <row r="263" spans="1:21" x14ac:dyDescent="0.25">
      <c r="H263" s="27" t="s">
        <v>58</v>
      </c>
      <c r="I263" s="16">
        <f t="shared" si="123"/>
        <v>7.3</v>
      </c>
      <c r="J263" s="16">
        <f t="shared" si="124"/>
        <v>7.31</v>
      </c>
      <c r="K263" s="16">
        <f t="shared" si="125"/>
        <v>7.3199999999999994</v>
      </c>
    </row>
    <row r="265" spans="1:21" ht="18.75" x14ac:dyDescent="0.3">
      <c r="C265" s="53">
        <v>2019</v>
      </c>
    </row>
    <row r="266" spans="1:21" ht="15.75" x14ac:dyDescent="0.25">
      <c r="C266" s="50" t="s">
        <v>87</v>
      </c>
      <c r="I266" s="46">
        <f t="shared" ref="I266:K271" si="128">B252-0.02</f>
        <v>4.1946200000000013</v>
      </c>
      <c r="J266" s="46">
        <f t="shared" si="128"/>
        <v>4.0100000000000016</v>
      </c>
      <c r="K266" s="46">
        <f t="shared" si="128"/>
        <v>4.2600000000000007</v>
      </c>
    </row>
    <row r="267" spans="1:21" x14ac:dyDescent="0.25">
      <c r="I267" s="46">
        <f t="shared" si="128"/>
        <v>0.21414555555555562</v>
      </c>
      <c r="J267" s="46">
        <f t="shared" si="128"/>
        <v>0.20388888888888895</v>
      </c>
      <c r="K267" s="46">
        <f t="shared" si="128"/>
        <v>0.21777777777777779</v>
      </c>
    </row>
    <row r="268" spans="1:21" x14ac:dyDescent="0.25">
      <c r="A268" s="19" t="s">
        <v>13</v>
      </c>
      <c r="B268" s="20">
        <v>2</v>
      </c>
      <c r="C268" s="21"/>
      <c r="D268" s="21"/>
      <c r="E268" s="21"/>
      <c r="F268" s="21"/>
      <c r="G268" s="21"/>
      <c r="H268" s="21"/>
      <c r="I268" s="46">
        <f t="shared" si="128"/>
        <v>2.8849278915629633</v>
      </c>
      <c r="J268" s="46">
        <f t="shared" si="128"/>
        <v>-0.02</v>
      </c>
      <c r="K268" s="46">
        <f t="shared" si="128"/>
        <v>-0.02</v>
      </c>
      <c r="L268" s="21"/>
      <c r="M268" s="22"/>
      <c r="N268" s="22"/>
      <c r="O268" s="21"/>
      <c r="P268" s="21"/>
    </row>
    <row r="269" spans="1:21" x14ac:dyDescent="0.25">
      <c r="A269" s="19" t="s">
        <v>14</v>
      </c>
      <c r="B269" s="20">
        <v>9</v>
      </c>
      <c r="C269" s="21" t="s">
        <v>15</v>
      </c>
      <c r="D269" s="21">
        <v>18</v>
      </c>
      <c r="E269" s="21"/>
      <c r="F269" s="21"/>
      <c r="G269" s="21"/>
      <c r="H269" s="21"/>
      <c r="I269" s="46">
        <f t="shared" si="128"/>
        <v>6.3037353125037679E-2</v>
      </c>
      <c r="J269" s="46" t="e">
        <f t="shared" si="128"/>
        <v>#VALUE!</v>
      </c>
      <c r="K269" s="46">
        <f t="shared" si="128"/>
        <v>-1.8132239096295671E-2</v>
      </c>
      <c r="L269" s="21"/>
      <c r="M269" s="22"/>
      <c r="N269" s="22"/>
      <c r="O269" s="21"/>
      <c r="P269" s="21"/>
    </row>
    <row r="270" spans="1:21" x14ac:dyDescent="0.25">
      <c r="A270" s="15" t="s">
        <v>16</v>
      </c>
      <c r="B270" s="23">
        <v>3</v>
      </c>
      <c r="I270" s="46">
        <f t="shared" si="128"/>
        <v>5.4440203333036688E-2</v>
      </c>
      <c r="J270" s="46" t="e">
        <f t="shared" si="128"/>
        <v>#VALUE!</v>
      </c>
      <c r="K270" s="46">
        <f t="shared" si="128"/>
        <v>-1.3270611111703339E-2</v>
      </c>
    </row>
    <row r="271" spans="1:21" x14ac:dyDescent="0.25">
      <c r="A271" s="24" t="s">
        <v>0</v>
      </c>
      <c r="B271" s="25" t="s">
        <v>17</v>
      </c>
      <c r="C271" s="25" t="s">
        <v>18</v>
      </c>
      <c r="D271" s="25" t="s">
        <v>19</v>
      </c>
      <c r="E271" s="25" t="s">
        <v>20</v>
      </c>
      <c r="F271" s="25" t="s">
        <v>11</v>
      </c>
      <c r="I271" s="46">
        <f t="shared" si="128"/>
        <v>-0.02</v>
      </c>
      <c r="J271" s="46">
        <f t="shared" si="128"/>
        <v>-0.02</v>
      </c>
      <c r="K271" s="46">
        <f t="shared" si="128"/>
        <v>-0.02</v>
      </c>
      <c r="O271" s="16" t="s">
        <v>21</v>
      </c>
      <c r="S271" s="26">
        <v>2019</v>
      </c>
      <c r="T271" s="26"/>
      <c r="U271" s="26"/>
    </row>
    <row r="272" spans="1:21" x14ac:dyDescent="0.25">
      <c r="A272" s="27" t="s">
        <v>22</v>
      </c>
      <c r="B272" s="7">
        <v>7.8500000000000005</v>
      </c>
      <c r="C272" s="7">
        <v>7.83</v>
      </c>
      <c r="D272" s="7">
        <v>7.8500000000000005</v>
      </c>
      <c r="E272" s="33">
        <f t="shared" ref="E272:E289" si="129">SUM(B272:D272)</f>
        <v>23.53</v>
      </c>
      <c r="F272" s="33">
        <f>E272/3</f>
        <v>7.8433333333333337</v>
      </c>
      <c r="H272" s="29"/>
      <c r="I272" s="29"/>
      <c r="J272" s="29" t="s">
        <v>23</v>
      </c>
      <c r="K272" s="29"/>
      <c r="L272" s="29"/>
      <c r="M272" s="29"/>
      <c r="N272" s="29"/>
      <c r="O272" s="30">
        <v>1</v>
      </c>
      <c r="P272" s="28">
        <f>SUM(F272:F280)/9</f>
        <v>7.8975785185185181</v>
      </c>
      <c r="Q272" s="31" t="e">
        <f>RANK(P272,P$9:P$10,0)</f>
        <v>#N/A</v>
      </c>
      <c r="S272" s="26">
        <f>P272*1835</f>
        <v>14492.05658148148</v>
      </c>
      <c r="T272" s="26"/>
      <c r="U272" s="26"/>
    </row>
    <row r="273" spans="1:21" x14ac:dyDescent="0.25">
      <c r="A273" s="27" t="s">
        <v>24</v>
      </c>
      <c r="B273" s="7">
        <v>7.9171480000000001</v>
      </c>
      <c r="C273" s="7">
        <v>7.92</v>
      </c>
      <c r="D273" s="7">
        <v>7.94</v>
      </c>
      <c r="E273" s="33">
        <f t="shared" si="129"/>
        <v>23.777148</v>
      </c>
      <c r="F273" s="33">
        <f t="shared" ref="F273:F286" si="130">E273/3</f>
        <v>7.9257160000000004</v>
      </c>
      <c r="G273" s="28"/>
      <c r="H273" s="25" t="s">
        <v>25</v>
      </c>
      <c r="I273" s="25" t="s">
        <v>26</v>
      </c>
      <c r="J273" s="25" t="s">
        <v>27</v>
      </c>
      <c r="K273" s="25" t="s">
        <v>28</v>
      </c>
      <c r="L273" s="25" t="s">
        <v>29</v>
      </c>
      <c r="M273" s="25" t="s">
        <v>30</v>
      </c>
      <c r="N273" s="32"/>
      <c r="O273" s="30">
        <v>2</v>
      </c>
      <c r="P273" s="28">
        <f>SUM(F281:F289)/9</f>
        <v>7.3940740740740738</v>
      </c>
      <c r="Q273" s="31" t="e">
        <f>RANK(P273,P$9:P$10,0)</f>
        <v>#N/A</v>
      </c>
      <c r="S273" s="26">
        <f>P273*1835</f>
        <v>13568.125925925926</v>
      </c>
      <c r="T273" s="26"/>
      <c r="U273" s="26"/>
    </row>
    <row r="274" spans="1:21" x14ac:dyDescent="0.25">
      <c r="A274" s="27" t="s">
        <v>31</v>
      </c>
      <c r="B274" s="7">
        <v>7.82</v>
      </c>
      <c r="C274" s="7">
        <v>7.8900000000000006</v>
      </c>
      <c r="D274" s="7">
        <v>8.01</v>
      </c>
      <c r="E274" s="33">
        <f t="shared" si="129"/>
        <v>23.72</v>
      </c>
      <c r="F274" s="33">
        <f t="shared" si="130"/>
        <v>7.9066666666666663</v>
      </c>
      <c r="G274" s="28" t="s">
        <v>32</v>
      </c>
      <c r="H274" s="28">
        <f>B270-1</f>
        <v>2</v>
      </c>
      <c r="I274" s="28">
        <f>D293</f>
        <v>0.20558484979210334</v>
      </c>
      <c r="J274" s="28">
        <f>I274/H274</f>
        <v>0.10279242489605167</v>
      </c>
      <c r="K274" s="28">
        <f>J274/$J$16</f>
        <v>10.83342281118901</v>
      </c>
      <c r="L274" s="28">
        <f>FINV(0.05,H274,$H$16)</f>
        <v>3.275897990672394</v>
      </c>
      <c r="M274" s="28" t="str">
        <f>IF(K274&gt;=L274, "S", "NS")</f>
        <v>S</v>
      </c>
      <c r="N274" s="21"/>
      <c r="O274" s="25" t="s">
        <v>33</v>
      </c>
      <c r="P274" s="54">
        <f>SQRT(J279/(3*9))</f>
        <v>2.9228999065072279E-2</v>
      </c>
      <c r="S274" s="26"/>
      <c r="T274" s="26"/>
      <c r="U274" s="26"/>
    </row>
    <row r="275" spans="1:21" x14ac:dyDescent="0.25">
      <c r="A275" s="27" t="s">
        <v>34</v>
      </c>
      <c r="B275" s="7">
        <v>7.8900000000000006</v>
      </c>
      <c r="C275" s="7">
        <v>7.88</v>
      </c>
      <c r="D275" s="7">
        <v>7.91</v>
      </c>
      <c r="E275" s="33">
        <f t="shared" si="129"/>
        <v>23.68</v>
      </c>
      <c r="F275" s="33">
        <f t="shared" si="130"/>
        <v>7.8933333333333335</v>
      </c>
      <c r="G275" s="28" t="s">
        <v>35</v>
      </c>
      <c r="H275" s="28">
        <f>D269-1</f>
        <v>17</v>
      </c>
      <c r="I275" s="28">
        <f>B294</f>
        <v>3.4903531588884107</v>
      </c>
      <c r="J275" s="28">
        <f t="shared" ref="J275:J279" si="131">I275/H275</f>
        <v>0.20531489169931827</v>
      </c>
      <c r="K275" s="28">
        <f>J275/$J$16</f>
        <v>21.638394399796198</v>
      </c>
      <c r="L275" s="28">
        <f>FINV(0.05,H275,$H$16)</f>
        <v>1.9332068318040869</v>
      </c>
      <c r="M275" s="34" t="str">
        <f t="shared" ref="M275" si="132">IF(K275&gt;=L275, "S", "NS")</f>
        <v>S</v>
      </c>
      <c r="N275" s="25" t="s">
        <v>36</v>
      </c>
      <c r="O275" s="25" t="s">
        <v>37</v>
      </c>
      <c r="P275" s="54">
        <f>SQRT((2*J279)/(3*9))*L280</f>
        <v>8.4004954334011631E-2</v>
      </c>
      <c r="S275" s="26"/>
      <c r="T275" s="26"/>
      <c r="U275" s="26"/>
    </row>
    <row r="276" spans="1:21" x14ac:dyDescent="0.25">
      <c r="A276" s="27" t="s">
        <v>38</v>
      </c>
      <c r="B276" s="7">
        <v>7.9474720000000003</v>
      </c>
      <c r="C276" s="7">
        <v>7.94</v>
      </c>
      <c r="D276" s="7">
        <v>7.93</v>
      </c>
      <c r="E276" s="33">
        <f t="shared" si="129"/>
        <v>23.817472000000002</v>
      </c>
      <c r="F276" s="33">
        <f t="shared" si="130"/>
        <v>7.9391573333333341</v>
      </c>
      <c r="G276" s="28" t="s">
        <v>39</v>
      </c>
      <c r="H276" s="28">
        <f>B268-1</f>
        <v>1</v>
      </c>
      <c r="I276" s="28">
        <f>(SUM(E272:E280)^2+SUM(E281:E289)^2)/27-B292</f>
        <v>3.4224757952661093</v>
      </c>
      <c r="J276" s="28">
        <f t="shared" si="131"/>
        <v>3.4224757952661093</v>
      </c>
      <c r="K276" s="28">
        <f>J276/$J$16</f>
        <v>360.69902416128599</v>
      </c>
      <c r="L276" s="28">
        <f>FINV(0.05,H276,$H$16)</f>
        <v>4.1300177456520188</v>
      </c>
      <c r="M276" s="28" t="str">
        <f>IF(K276&gt;=L276, "S", "NS")</f>
        <v>S</v>
      </c>
      <c r="N276" s="21"/>
      <c r="O276" s="30">
        <v>1</v>
      </c>
      <c r="P276" s="28">
        <f>(F272+F281)/2</f>
        <v>7.6416666666666675</v>
      </c>
      <c r="Q276" s="31" t="e">
        <f>RANK(P276,P$13:P$21,0)</f>
        <v>#N/A</v>
      </c>
      <c r="R276" s="35">
        <v>9</v>
      </c>
      <c r="S276" s="36">
        <f>P276*1835</f>
        <v>14022.458333333336</v>
      </c>
      <c r="T276" s="36"/>
      <c r="U276" s="36"/>
    </row>
    <row r="277" spans="1:21" x14ac:dyDescent="0.25">
      <c r="A277" s="27" t="s">
        <v>40</v>
      </c>
      <c r="B277" s="7">
        <v>7.93</v>
      </c>
      <c r="C277" s="7">
        <v>7.74</v>
      </c>
      <c r="D277" s="7">
        <v>8.1</v>
      </c>
      <c r="E277" s="33">
        <f t="shared" si="129"/>
        <v>23.77</v>
      </c>
      <c r="F277" s="33">
        <f t="shared" si="130"/>
        <v>7.9233333333333329</v>
      </c>
      <c r="G277" s="28" t="s">
        <v>41</v>
      </c>
      <c r="H277" s="28">
        <f>B269-1</f>
        <v>8</v>
      </c>
      <c r="I277" s="28">
        <f>((E272+E281)^2+(E273+E282)^2+(E274+E283)^2+(E275+E284)^2+(E276+E285)^2+(E277+E286)^2+(E278+E287)^2+(E279+E288)^2+(E280+E289)^2/6)-B292</f>
        <v>14029.08741500201</v>
      </c>
      <c r="J277" s="28">
        <f t="shared" si="131"/>
        <v>1753.6359268752512</v>
      </c>
      <c r="K277" s="28">
        <f>J277/$J$16</f>
        <v>184817.8936525959</v>
      </c>
      <c r="L277" s="28">
        <f>FINV(0.05,H277,$H$16)</f>
        <v>2.2253399674380931</v>
      </c>
      <c r="M277" s="28" t="str">
        <f>IF(K277&gt;=L277, "S", "NS")</f>
        <v>S</v>
      </c>
      <c r="N277" s="21"/>
      <c r="O277" s="30">
        <v>2</v>
      </c>
      <c r="P277" s="28">
        <f t="shared" ref="P277:P284" si="133">(F273+F282)/2</f>
        <v>7.6711913333333337</v>
      </c>
      <c r="Q277" s="31" t="e">
        <f t="shared" ref="Q277:Q284" si="134">RANK(P277,P$13:P$21,0)</f>
        <v>#N/A</v>
      </c>
      <c r="R277" s="37">
        <v>5</v>
      </c>
      <c r="S277" s="36">
        <f t="shared" ref="S277:S284" si="135">P277*1835</f>
        <v>14076.636096666667</v>
      </c>
      <c r="T277" s="26"/>
      <c r="U277" s="26"/>
    </row>
    <row r="278" spans="1:21" x14ac:dyDescent="0.25">
      <c r="A278" s="27" t="s">
        <v>42</v>
      </c>
      <c r="B278" s="7">
        <v>7.92</v>
      </c>
      <c r="C278" s="7">
        <v>7.8900000000000006</v>
      </c>
      <c r="D278" s="7">
        <v>7.91</v>
      </c>
      <c r="E278" s="33">
        <f t="shared" si="129"/>
        <v>23.72</v>
      </c>
      <c r="F278" s="33">
        <f t="shared" si="130"/>
        <v>7.9066666666666663</v>
      </c>
      <c r="G278" s="38" t="s">
        <v>43</v>
      </c>
      <c r="H278" s="28">
        <f>H276*H277</f>
        <v>8</v>
      </c>
      <c r="I278" s="28">
        <f>I275-(I276+I277)</f>
        <v>-14029.019537638387</v>
      </c>
      <c r="J278" s="28">
        <f t="shared" si="131"/>
        <v>-1753.6274422047984</v>
      </c>
      <c r="K278" s="39">
        <f>J278/$J$16</f>
        <v>-184816.99944251651</v>
      </c>
      <c r="L278" s="28">
        <f>FINV(0.05,H278,$H$16)</f>
        <v>2.2253399674380931</v>
      </c>
      <c r="M278" s="28" t="str">
        <f t="shared" ref="M278" si="136">IF(K278&gt;=L278, "S", "NS")</f>
        <v>NS</v>
      </c>
      <c r="N278" s="21"/>
      <c r="O278" s="30">
        <v>3</v>
      </c>
      <c r="P278" s="28">
        <f t="shared" si="133"/>
        <v>7.6133333333333333</v>
      </c>
      <c r="Q278" s="31" t="e">
        <f t="shared" si="134"/>
        <v>#N/A</v>
      </c>
      <c r="R278" s="37">
        <v>2</v>
      </c>
      <c r="S278" s="36">
        <f t="shared" si="135"/>
        <v>13970.466666666667</v>
      </c>
      <c r="T278" s="26"/>
      <c r="U278" s="26"/>
    </row>
    <row r="279" spans="1:21" x14ac:dyDescent="0.25">
      <c r="A279" s="27" t="s">
        <v>44</v>
      </c>
      <c r="B279" s="7">
        <v>7.9</v>
      </c>
      <c r="C279" s="7">
        <v>7.2</v>
      </c>
      <c r="D279" s="7">
        <v>8.4</v>
      </c>
      <c r="E279" s="33">
        <f t="shared" si="129"/>
        <v>23.5</v>
      </c>
      <c r="F279" s="33">
        <f t="shared" si="130"/>
        <v>7.833333333333333</v>
      </c>
      <c r="G279" s="40" t="s">
        <v>45</v>
      </c>
      <c r="H279" s="28">
        <f>((B270-1)*(B268*B269-1))</f>
        <v>34</v>
      </c>
      <c r="I279" s="28">
        <f>D294</f>
        <v>0.78427896666562447</v>
      </c>
      <c r="J279" s="28">
        <f t="shared" si="131"/>
        <v>2.3067028431341896E-2</v>
      </c>
      <c r="O279" s="30">
        <v>4</v>
      </c>
      <c r="P279" s="28">
        <f t="shared" si="133"/>
        <v>7.6350000000000007</v>
      </c>
      <c r="Q279" s="31" t="e">
        <f t="shared" si="134"/>
        <v>#N/A</v>
      </c>
      <c r="R279" s="37">
        <v>7</v>
      </c>
      <c r="S279" s="36">
        <f t="shared" si="135"/>
        <v>14010.225</v>
      </c>
      <c r="T279" s="26"/>
      <c r="U279" s="26"/>
    </row>
    <row r="280" spans="1:21" x14ac:dyDescent="0.25">
      <c r="A280" s="27" t="s">
        <v>46</v>
      </c>
      <c r="B280" s="7">
        <v>7.91</v>
      </c>
      <c r="C280" s="7">
        <v>7.9</v>
      </c>
      <c r="D280" s="7">
        <v>7.91</v>
      </c>
      <c r="E280" s="33">
        <f t="shared" si="129"/>
        <v>23.72</v>
      </c>
      <c r="F280" s="33">
        <f t="shared" si="130"/>
        <v>7.9066666666666663</v>
      </c>
      <c r="G280" s="39" t="s">
        <v>20</v>
      </c>
      <c r="H280" s="28">
        <f>SUM(H274:H279)-H275</f>
        <v>53</v>
      </c>
      <c r="I280" s="28">
        <f>B293</f>
        <v>4.4802169753461385</v>
      </c>
      <c r="K280" s="28" t="s">
        <v>47</v>
      </c>
      <c r="L280" s="16">
        <f>TINV(0.05,34)</f>
        <v>2.0322445093177191</v>
      </c>
      <c r="O280" s="30">
        <v>5</v>
      </c>
      <c r="P280" s="28">
        <f t="shared" si="133"/>
        <v>7.6912453333333328</v>
      </c>
      <c r="Q280" s="31" t="e">
        <f t="shared" si="134"/>
        <v>#N/A</v>
      </c>
      <c r="R280" s="35">
        <v>3</v>
      </c>
      <c r="S280" s="36">
        <f t="shared" si="135"/>
        <v>14113.435186666666</v>
      </c>
      <c r="T280" s="41"/>
      <c r="U280" s="41"/>
    </row>
    <row r="281" spans="1:21" x14ac:dyDescent="0.25">
      <c r="A281" s="27" t="s">
        <v>48</v>
      </c>
      <c r="B281" s="7">
        <v>7.43</v>
      </c>
      <c r="C281" s="7">
        <v>7.4499999999999993</v>
      </c>
      <c r="D281" s="7">
        <v>7.4399999999999995</v>
      </c>
      <c r="E281" s="33">
        <f t="shared" si="129"/>
        <v>22.32</v>
      </c>
      <c r="F281" s="33">
        <f t="shared" si="130"/>
        <v>7.44</v>
      </c>
      <c r="G281" s="42" t="s">
        <v>33</v>
      </c>
      <c r="H281" s="28">
        <f>SQRT(J279/3)</f>
        <v>8.7686997195216831E-2</v>
      </c>
      <c r="O281" s="30">
        <v>6</v>
      </c>
      <c r="P281" s="28">
        <f t="shared" si="133"/>
        <v>7.6466666666666665</v>
      </c>
      <c r="Q281" s="31" t="e">
        <f t="shared" si="134"/>
        <v>#N/A</v>
      </c>
      <c r="R281" s="37">
        <v>1</v>
      </c>
      <c r="S281" s="36">
        <f t="shared" si="135"/>
        <v>14031.633333333333</v>
      </c>
      <c r="T281" s="41"/>
      <c r="U281" s="41"/>
    </row>
    <row r="282" spans="1:21" x14ac:dyDescent="0.25">
      <c r="A282" s="27" t="s">
        <v>49</v>
      </c>
      <c r="B282" s="7">
        <v>7.42</v>
      </c>
      <c r="C282" s="7">
        <v>7.38</v>
      </c>
      <c r="D282" s="7">
        <v>7.4499999999999993</v>
      </c>
      <c r="E282" s="33">
        <f t="shared" si="129"/>
        <v>22.25</v>
      </c>
      <c r="F282" s="33">
        <f t="shared" si="130"/>
        <v>7.416666666666667</v>
      </c>
      <c r="G282" s="42" t="s">
        <v>37</v>
      </c>
      <c r="H282" s="28">
        <f>(SQRT((2*J279)/3))*L280</f>
        <v>0.25201486300203491</v>
      </c>
      <c r="O282" s="30">
        <v>7</v>
      </c>
      <c r="P282" s="28">
        <f t="shared" si="133"/>
        <v>7.6416666666666657</v>
      </c>
      <c r="Q282" s="31" t="e">
        <f t="shared" si="134"/>
        <v>#N/A</v>
      </c>
      <c r="R282" s="37">
        <v>6</v>
      </c>
      <c r="S282" s="36">
        <f t="shared" si="135"/>
        <v>14022.458333333332</v>
      </c>
      <c r="T282" s="41"/>
      <c r="U282" s="41"/>
    </row>
    <row r="283" spans="1:21" x14ac:dyDescent="0.25">
      <c r="A283" s="27" t="s">
        <v>50</v>
      </c>
      <c r="B283" s="7">
        <v>7.34</v>
      </c>
      <c r="C283" s="7">
        <v>7.31</v>
      </c>
      <c r="D283" s="7">
        <v>7.31</v>
      </c>
      <c r="E283" s="33">
        <f t="shared" si="129"/>
        <v>21.959999999999997</v>
      </c>
      <c r="F283" s="33">
        <f t="shared" si="130"/>
        <v>7.3199999999999994</v>
      </c>
      <c r="G283" s="42" t="s">
        <v>51</v>
      </c>
      <c r="H283" s="28">
        <f>((SQRT(J279))/F290)*100</f>
        <v>1.9864214594940037</v>
      </c>
      <c r="O283" s="30">
        <v>8</v>
      </c>
      <c r="P283" s="28">
        <f t="shared" si="133"/>
        <v>7.6233333333333331</v>
      </c>
      <c r="Q283" s="31" t="e">
        <f t="shared" si="134"/>
        <v>#N/A</v>
      </c>
      <c r="R283" s="35">
        <v>4</v>
      </c>
      <c r="S283" s="36">
        <f t="shared" si="135"/>
        <v>13988.816666666666</v>
      </c>
      <c r="T283" s="41"/>
      <c r="U283" s="41"/>
    </row>
    <row r="284" spans="1:21" x14ac:dyDescent="0.25">
      <c r="A284" s="27" t="s">
        <v>52</v>
      </c>
      <c r="B284" s="7">
        <v>7.37</v>
      </c>
      <c r="C284" s="7">
        <v>7.18</v>
      </c>
      <c r="D284" s="7">
        <v>7.58</v>
      </c>
      <c r="E284" s="33">
        <f t="shared" si="129"/>
        <v>22.130000000000003</v>
      </c>
      <c r="F284" s="33">
        <f t="shared" si="130"/>
        <v>7.3766666666666678</v>
      </c>
      <c r="O284" s="30">
        <v>9</v>
      </c>
      <c r="P284" s="28">
        <f t="shared" si="133"/>
        <v>7.6483333333333334</v>
      </c>
      <c r="Q284" s="31" t="e">
        <f t="shared" si="134"/>
        <v>#N/A</v>
      </c>
      <c r="R284" s="37">
        <v>8</v>
      </c>
      <c r="S284" s="36">
        <f t="shared" si="135"/>
        <v>14034.691666666668</v>
      </c>
      <c r="T284" s="41"/>
      <c r="U284" s="41"/>
    </row>
    <row r="285" spans="1:21" x14ac:dyDescent="0.25">
      <c r="A285" s="27" t="s">
        <v>53</v>
      </c>
      <c r="B285" s="7">
        <v>7.4499999999999993</v>
      </c>
      <c r="C285" s="7">
        <v>7.4099999999999993</v>
      </c>
      <c r="D285" s="7">
        <v>7.47</v>
      </c>
      <c r="E285" s="33">
        <f t="shared" si="129"/>
        <v>22.33</v>
      </c>
      <c r="F285" s="33">
        <f t="shared" si="130"/>
        <v>7.4433333333333325</v>
      </c>
      <c r="H285" s="16" t="s">
        <v>54</v>
      </c>
      <c r="O285" s="25" t="s">
        <v>33</v>
      </c>
      <c r="P285" s="33">
        <f>SQRT(J279/(3*2))</f>
        <v>6.2004070338623596E-2</v>
      </c>
      <c r="Q285" s="31"/>
      <c r="S285" s="41"/>
      <c r="T285" s="41"/>
      <c r="U285" s="41"/>
    </row>
    <row r="286" spans="1:21" x14ac:dyDescent="0.25">
      <c r="A286" s="27" t="s">
        <v>55</v>
      </c>
      <c r="B286" s="7">
        <v>7.38</v>
      </c>
      <c r="C286" s="7">
        <v>7.15</v>
      </c>
      <c r="D286" s="7">
        <v>7.58</v>
      </c>
      <c r="E286" s="33">
        <f t="shared" si="129"/>
        <v>22.11</v>
      </c>
      <c r="F286" s="33">
        <f t="shared" si="130"/>
        <v>7.37</v>
      </c>
      <c r="G286" s="43">
        <v>1</v>
      </c>
      <c r="H286" s="16">
        <f>F272-F281</f>
        <v>0.40333333333333332</v>
      </c>
      <c r="I286" s="16">
        <f>B272-0.06</f>
        <v>7.7900000000000009</v>
      </c>
      <c r="J286" s="16">
        <f t="shared" ref="J286:K286" si="137">C272-0.06</f>
        <v>7.7700000000000005</v>
      </c>
      <c r="K286" s="16">
        <f t="shared" si="137"/>
        <v>7.7900000000000009</v>
      </c>
      <c r="N286" s="25" t="s">
        <v>41</v>
      </c>
      <c r="O286" s="25" t="s">
        <v>37</v>
      </c>
      <c r="P286" s="33">
        <f>SQRT((2*J279)/(3*2))*L280</f>
        <v>0.17820141858853764</v>
      </c>
      <c r="Q286" s="31"/>
      <c r="S286" s="41"/>
      <c r="T286" s="41"/>
      <c r="U286" s="41"/>
    </row>
    <row r="287" spans="1:21" x14ac:dyDescent="0.25">
      <c r="A287" s="27" t="s">
        <v>56</v>
      </c>
      <c r="B287" s="7">
        <v>7.38</v>
      </c>
      <c r="C287" s="7">
        <v>7.38</v>
      </c>
      <c r="D287" s="7">
        <v>7.37</v>
      </c>
      <c r="E287" s="33">
        <f t="shared" si="129"/>
        <v>22.13</v>
      </c>
      <c r="F287" s="33">
        <f>E287/3</f>
        <v>7.376666666666666</v>
      </c>
      <c r="G287" s="43">
        <v>2</v>
      </c>
      <c r="H287" s="16">
        <f t="shared" ref="H287:H294" si="138">F273-F282</f>
        <v>0.50904933333333346</v>
      </c>
      <c r="I287" s="16">
        <f t="shared" ref="I287:I294" si="139">B273-0.06</f>
        <v>7.8571480000000005</v>
      </c>
      <c r="J287" s="16">
        <f t="shared" ref="J287:J294" si="140">C273-0.06</f>
        <v>7.86</v>
      </c>
      <c r="K287" s="16">
        <f t="shared" ref="K287:K294" si="141">D273-0.06</f>
        <v>7.8800000000000008</v>
      </c>
      <c r="Q287" s="31"/>
      <c r="S287" s="41"/>
      <c r="T287" s="41"/>
      <c r="U287" s="41"/>
    </row>
    <row r="288" spans="1:21" x14ac:dyDescent="0.25">
      <c r="A288" s="27" t="s">
        <v>57</v>
      </c>
      <c r="B288" s="7">
        <v>7.42</v>
      </c>
      <c r="C288" s="7">
        <v>7.41</v>
      </c>
      <c r="D288" s="7">
        <v>7.41</v>
      </c>
      <c r="E288" s="33">
        <f t="shared" si="129"/>
        <v>22.240000000000002</v>
      </c>
      <c r="F288" s="33">
        <f t="shared" ref="F288:F289" si="142">E288/3</f>
        <v>7.413333333333334</v>
      </c>
      <c r="G288" s="43">
        <v>3</v>
      </c>
      <c r="H288" s="16">
        <f t="shared" si="138"/>
        <v>0.58666666666666689</v>
      </c>
      <c r="I288" s="16">
        <f t="shared" si="139"/>
        <v>7.7600000000000007</v>
      </c>
      <c r="J288" s="16">
        <f t="shared" si="140"/>
        <v>7.830000000000001</v>
      </c>
      <c r="K288" s="16">
        <f t="shared" si="141"/>
        <v>7.95</v>
      </c>
      <c r="S288" s="41"/>
      <c r="T288" s="41"/>
      <c r="U288" s="41"/>
    </row>
    <row r="289" spans="1:18" x14ac:dyDescent="0.25">
      <c r="A289" s="27" t="s">
        <v>58</v>
      </c>
      <c r="B289" s="7">
        <v>7.38</v>
      </c>
      <c r="C289" s="7">
        <v>7.39</v>
      </c>
      <c r="D289" s="7">
        <v>7.3999999999999995</v>
      </c>
      <c r="E289" s="33">
        <f t="shared" si="129"/>
        <v>22.169999999999998</v>
      </c>
      <c r="F289" s="33">
        <f t="shared" si="142"/>
        <v>7.39</v>
      </c>
      <c r="G289" s="43">
        <v>4</v>
      </c>
      <c r="H289" s="16">
        <f t="shared" si="138"/>
        <v>0.51666666666666572</v>
      </c>
      <c r="I289" s="16">
        <f t="shared" si="139"/>
        <v>7.830000000000001</v>
      </c>
      <c r="J289" s="16">
        <f t="shared" si="140"/>
        <v>7.82</v>
      </c>
      <c r="K289" s="16">
        <f t="shared" si="141"/>
        <v>7.8500000000000005</v>
      </c>
    </row>
    <row r="290" spans="1:18" x14ac:dyDescent="0.25">
      <c r="A290" s="25" t="s">
        <v>20</v>
      </c>
      <c r="B290" s="28">
        <f>SUM(B272:B289)</f>
        <v>137.65461999999999</v>
      </c>
      <c r="C290" s="28">
        <f>SUM(C272:C289)</f>
        <v>136.25</v>
      </c>
      <c r="D290" s="28">
        <f>SUM(D272:D289)</f>
        <v>138.97000000000003</v>
      </c>
      <c r="E290" s="28">
        <f>SUM(E272:E289)</f>
        <v>412.87461999999999</v>
      </c>
      <c r="F290" s="28">
        <f>AVERAGE(B272:D289)</f>
        <v>7.6458262962962964</v>
      </c>
      <c r="G290" s="43">
        <v>5</v>
      </c>
      <c r="H290" s="16">
        <f t="shared" si="138"/>
        <v>0.4958240000000016</v>
      </c>
      <c r="I290" s="16">
        <f t="shared" si="139"/>
        <v>7.8874720000000007</v>
      </c>
      <c r="J290" s="16">
        <f t="shared" si="140"/>
        <v>7.8800000000000008</v>
      </c>
      <c r="K290" s="16">
        <f t="shared" si="141"/>
        <v>7.87</v>
      </c>
    </row>
    <row r="291" spans="1:18" x14ac:dyDescent="0.25">
      <c r="A291" s="25" t="s">
        <v>11</v>
      </c>
      <c r="B291" s="28">
        <f>B290/18</f>
        <v>7.6474788888888883</v>
      </c>
      <c r="C291" s="28">
        <f>C290/18</f>
        <v>7.5694444444444446</v>
      </c>
      <c r="D291" s="28">
        <f>D290/18</f>
        <v>7.7205555555555572</v>
      </c>
      <c r="G291" s="43">
        <v>6</v>
      </c>
      <c r="H291" s="16">
        <f t="shared" si="138"/>
        <v>0.55333333333333279</v>
      </c>
      <c r="I291" s="16">
        <f t="shared" si="139"/>
        <v>7.87</v>
      </c>
      <c r="J291" s="16">
        <f t="shared" si="140"/>
        <v>7.6800000000000006</v>
      </c>
      <c r="K291" s="16">
        <f t="shared" si="141"/>
        <v>8.0399999999999991</v>
      </c>
    </row>
    <row r="292" spans="1:18" x14ac:dyDescent="0.25">
      <c r="A292" s="25" t="s">
        <v>59</v>
      </c>
      <c r="B292" s="28">
        <f>(E290*E290)/54</f>
        <v>3156.7676266693411</v>
      </c>
      <c r="C292" s="28"/>
      <c r="D292" s="28"/>
      <c r="G292" s="43">
        <v>7</v>
      </c>
      <c r="H292" s="16">
        <f t="shared" si="138"/>
        <v>0.53000000000000025</v>
      </c>
      <c r="I292" s="16">
        <f t="shared" si="139"/>
        <v>7.86</v>
      </c>
      <c r="J292" s="16">
        <f t="shared" si="140"/>
        <v>7.830000000000001</v>
      </c>
      <c r="K292" s="16">
        <f t="shared" si="141"/>
        <v>7.8500000000000005</v>
      </c>
    </row>
    <row r="293" spans="1:18" x14ac:dyDescent="0.25">
      <c r="A293" s="25" t="s">
        <v>60</v>
      </c>
      <c r="B293" s="28">
        <f>SUMSQ(B272:D289)-B292</f>
        <v>4.4802169753461385</v>
      </c>
      <c r="C293" s="25" t="s">
        <v>61</v>
      </c>
      <c r="D293" s="28">
        <f>(SUMSQ(B290:D290)/18)-B292</f>
        <v>0.20558484979210334</v>
      </c>
      <c r="G293" s="43">
        <v>8</v>
      </c>
      <c r="H293" s="16">
        <f t="shared" si="138"/>
        <v>0.41999999999999904</v>
      </c>
      <c r="I293" s="16">
        <f t="shared" si="139"/>
        <v>7.8400000000000007</v>
      </c>
      <c r="J293" s="16">
        <f t="shared" si="140"/>
        <v>7.1400000000000006</v>
      </c>
      <c r="K293" s="16">
        <f t="shared" si="141"/>
        <v>8.34</v>
      </c>
    </row>
    <row r="294" spans="1:18" x14ac:dyDescent="0.25">
      <c r="A294" s="25" t="s">
        <v>62</v>
      </c>
      <c r="B294" s="28">
        <f>(SUMSQ(E272:E289)/3)-B292</f>
        <v>3.4903531588884107</v>
      </c>
      <c r="C294" s="25" t="s">
        <v>63</v>
      </c>
      <c r="D294" s="28">
        <f>B293-B294-D293</f>
        <v>0.78427896666562447</v>
      </c>
      <c r="G294" s="43">
        <v>9</v>
      </c>
      <c r="H294" s="16">
        <f t="shared" si="138"/>
        <v>0.51666666666666661</v>
      </c>
      <c r="I294" s="16">
        <f t="shared" si="139"/>
        <v>7.8500000000000005</v>
      </c>
      <c r="J294" s="16">
        <f t="shared" si="140"/>
        <v>7.8400000000000007</v>
      </c>
      <c r="K294" s="16">
        <f t="shared" si="141"/>
        <v>7.8500000000000005</v>
      </c>
    </row>
    <row r="295" spans="1:18" x14ac:dyDescent="0.25">
      <c r="H295" s="27" t="s">
        <v>50</v>
      </c>
      <c r="I295" s="16">
        <f>B281-0.08</f>
        <v>7.35</v>
      </c>
      <c r="J295" s="16">
        <f t="shared" ref="J295:K295" si="143">C281-0.08</f>
        <v>7.3699999999999992</v>
      </c>
      <c r="K295" s="16">
        <f t="shared" si="143"/>
        <v>7.3599999999999994</v>
      </c>
    </row>
    <row r="296" spans="1:18" x14ac:dyDescent="0.25">
      <c r="H296" s="27" t="s">
        <v>52</v>
      </c>
      <c r="I296" s="16">
        <f t="shared" ref="I296:I303" si="144">B282-0.08</f>
        <v>7.34</v>
      </c>
      <c r="J296" s="16">
        <f t="shared" ref="J296:J303" si="145">C282-0.08</f>
        <v>7.3</v>
      </c>
      <c r="K296" s="16">
        <f t="shared" ref="K296:K303" si="146">D282-0.08</f>
        <v>7.3699999999999992</v>
      </c>
    </row>
    <row r="297" spans="1:18" x14ac:dyDescent="0.25">
      <c r="H297" s="27" t="s">
        <v>53</v>
      </c>
      <c r="I297" s="16">
        <f t="shared" si="144"/>
        <v>7.26</v>
      </c>
      <c r="J297" s="16">
        <f t="shared" si="145"/>
        <v>7.2299999999999995</v>
      </c>
      <c r="K297" s="16">
        <f t="shared" si="146"/>
        <v>7.2299999999999995</v>
      </c>
    </row>
    <row r="298" spans="1:18" ht="18.75" x14ac:dyDescent="0.3">
      <c r="C298" s="53">
        <v>2020</v>
      </c>
      <c r="H298" s="27" t="s">
        <v>55</v>
      </c>
      <c r="I298" s="16">
        <f t="shared" si="144"/>
        <v>7.29</v>
      </c>
      <c r="J298" s="16">
        <f t="shared" si="145"/>
        <v>7.1</v>
      </c>
      <c r="K298" s="16">
        <f t="shared" si="146"/>
        <v>7.5</v>
      </c>
    </row>
    <row r="299" spans="1:18" ht="15.75" x14ac:dyDescent="0.25">
      <c r="C299" s="50" t="s">
        <v>87</v>
      </c>
      <c r="H299" s="27" t="s">
        <v>56</v>
      </c>
      <c r="I299" s="16">
        <f t="shared" si="144"/>
        <v>7.3699999999999992</v>
      </c>
      <c r="J299" s="16">
        <f t="shared" si="145"/>
        <v>7.3299999999999992</v>
      </c>
      <c r="K299" s="16">
        <f t="shared" si="146"/>
        <v>7.39</v>
      </c>
    </row>
    <row r="300" spans="1:18" x14ac:dyDescent="0.25">
      <c r="A300" s="19" t="s">
        <v>13</v>
      </c>
      <c r="B300" s="20">
        <v>2</v>
      </c>
      <c r="C300" s="21"/>
      <c r="D300" s="21"/>
      <c r="E300" s="21"/>
      <c r="F300" s="21"/>
      <c r="G300" s="21"/>
      <c r="H300" s="27" t="s">
        <v>57</v>
      </c>
      <c r="I300" s="16">
        <f t="shared" si="144"/>
        <v>7.3</v>
      </c>
      <c r="J300" s="16">
        <f t="shared" si="145"/>
        <v>7.07</v>
      </c>
      <c r="K300" s="16">
        <f t="shared" si="146"/>
        <v>7.5</v>
      </c>
      <c r="L300" s="21"/>
      <c r="M300" s="22"/>
      <c r="N300" s="22"/>
      <c r="O300" s="21"/>
      <c r="P300" s="21"/>
    </row>
    <row r="301" spans="1:18" x14ac:dyDescent="0.25">
      <c r="A301" s="19" t="s">
        <v>14</v>
      </c>
      <c r="B301" s="20">
        <v>9</v>
      </c>
      <c r="C301" s="21" t="s">
        <v>15</v>
      </c>
      <c r="D301" s="21">
        <v>18</v>
      </c>
      <c r="E301" s="21"/>
      <c r="F301" s="21"/>
      <c r="G301" s="21"/>
      <c r="H301" s="27" t="s">
        <v>58</v>
      </c>
      <c r="I301" s="16">
        <f t="shared" si="144"/>
        <v>7.3</v>
      </c>
      <c r="J301" s="16">
        <f t="shared" si="145"/>
        <v>7.3</v>
      </c>
      <c r="K301" s="16">
        <f t="shared" si="146"/>
        <v>7.29</v>
      </c>
      <c r="L301" s="21"/>
      <c r="M301" s="22"/>
      <c r="N301" s="22"/>
      <c r="O301" s="21"/>
      <c r="P301" s="21"/>
    </row>
    <row r="302" spans="1:18" x14ac:dyDescent="0.25">
      <c r="A302" s="15" t="s">
        <v>16</v>
      </c>
      <c r="B302" s="23">
        <v>3</v>
      </c>
      <c r="I302" s="16">
        <f t="shared" si="144"/>
        <v>7.34</v>
      </c>
      <c r="J302" s="16">
        <f t="shared" si="145"/>
        <v>7.33</v>
      </c>
      <c r="K302" s="16">
        <f t="shared" si="146"/>
        <v>7.33</v>
      </c>
    </row>
    <row r="303" spans="1:18" x14ac:dyDescent="0.25">
      <c r="A303" s="24" t="s">
        <v>0</v>
      </c>
      <c r="B303" s="25" t="s">
        <v>17</v>
      </c>
      <c r="C303" s="25" t="s">
        <v>18</v>
      </c>
      <c r="D303" s="25" t="s">
        <v>19</v>
      </c>
      <c r="E303" s="25" t="s">
        <v>20</v>
      </c>
      <c r="F303" s="25" t="s">
        <v>11</v>
      </c>
      <c r="I303" s="16">
        <f t="shared" si="144"/>
        <v>7.3</v>
      </c>
      <c r="J303" s="16">
        <f t="shared" si="145"/>
        <v>7.31</v>
      </c>
      <c r="K303" s="16">
        <f t="shared" si="146"/>
        <v>7.3199999999999994</v>
      </c>
      <c r="O303" s="16" t="s">
        <v>21</v>
      </c>
      <c r="R303" s="16"/>
    </row>
    <row r="304" spans="1:18" x14ac:dyDescent="0.25">
      <c r="A304" s="27" t="s">
        <v>22</v>
      </c>
      <c r="B304" s="45">
        <v>7.7900000000000009</v>
      </c>
      <c r="C304" s="45">
        <v>7.7700000000000005</v>
      </c>
      <c r="D304" s="45">
        <v>7.7900000000000009</v>
      </c>
      <c r="E304" s="28">
        <f>SUM(B304:D304)</f>
        <v>23.35</v>
      </c>
      <c r="F304" s="28">
        <f>E304/3</f>
        <v>7.7833333333333341</v>
      </c>
      <c r="H304" s="29"/>
      <c r="I304" s="29"/>
      <c r="J304" s="29" t="s">
        <v>23</v>
      </c>
      <c r="K304" s="29"/>
      <c r="L304" s="29"/>
      <c r="M304" s="29"/>
      <c r="N304" s="29"/>
      <c r="O304" s="30">
        <v>1</v>
      </c>
      <c r="P304" s="33">
        <f>SUM(F304:F312)/9</f>
        <v>7.8284248888888879</v>
      </c>
      <c r="Q304" s="31" t="e">
        <f>RANK(P304,P$105:P$106,0)</f>
        <v>#N/A</v>
      </c>
      <c r="R304" s="16"/>
    </row>
    <row r="305" spans="1:18" x14ac:dyDescent="0.25">
      <c r="A305" s="27" t="s">
        <v>24</v>
      </c>
      <c r="B305" s="45">
        <v>7.96</v>
      </c>
      <c r="C305" s="45">
        <v>7.76</v>
      </c>
      <c r="D305" s="45">
        <v>7.8800000000000008</v>
      </c>
      <c r="E305" s="28">
        <f t="shared" ref="E305:E321" si="147">SUM(B305:D305)</f>
        <v>23.6</v>
      </c>
      <c r="F305" s="28">
        <f t="shared" ref="F305:F318" si="148">E305/3</f>
        <v>7.8666666666666671</v>
      </c>
      <c r="G305" s="28"/>
      <c r="H305" s="25" t="s">
        <v>25</v>
      </c>
      <c r="I305" s="25" t="s">
        <v>26</v>
      </c>
      <c r="J305" s="25" t="s">
        <v>27</v>
      </c>
      <c r="K305" s="25" t="s">
        <v>28</v>
      </c>
      <c r="L305" s="25" t="s">
        <v>29</v>
      </c>
      <c r="M305" s="25" t="s">
        <v>30</v>
      </c>
      <c r="N305" s="32"/>
      <c r="O305" s="30">
        <v>2</v>
      </c>
      <c r="P305" s="33">
        <f>SUM(F313:F321)/9</f>
        <v>7.3111111111111109</v>
      </c>
      <c r="Q305" s="31" t="e">
        <f>RANK(P305,P$105:P$106,0)</f>
        <v>#N/A</v>
      </c>
      <c r="R305" s="16"/>
    </row>
    <row r="306" spans="1:18" x14ac:dyDescent="0.25">
      <c r="A306" s="27" t="s">
        <v>31</v>
      </c>
      <c r="B306" s="45">
        <v>7.85</v>
      </c>
      <c r="C306" s="45">
        <v>7.63</v>
      </c>
      <c r="D306" s="45">
        <v>7.95</v>
      </c>
      <c r="E306" s="28">
        <f t="shared" si="147"/>
        <v>23.43</v>
      </c>
      <c r="F306" s="28">
        <f t="shared" si="148"/>
        <v>7.81</v>
      </c>
      <c r="G306" s="28" t="s">
        <v>32</v>
      </c>
      <c r="H306" s="28">
        <f>B302-1</f>
        <v>2</v>
      </c>
      <c r="I306" s="28">
        <f>D325</f>
        <v>2.7244017437624279E-2</v>
      </c>
      <c r="J306" s="28">
        <f>I306/H306</f>
        <v>1.362200871881214E-2</v>
      </c>
      <c r="K306" s="28">
        <f>J306/$J$16</f>
        <v>1.4356406139637961</v>
      </c>
      <c r="L306" s="28">
        <f>FINV(0.05,H306,$H$16)</f>
        <v>3.275897990672394</v>
      </c>
      <c r="M306" s="28" t="str">
        <f>IF(K306&gt;=L306, "S", "NS")</f>
        <v>NS</v>
      </c>
      <c r="N306" s="21"/>
      <c r="O306" s="25" t="s">
        <v>33</v>
      </c>
      <c r="P306" s="54">
        <f>SQRT(J311/(3*9))</f>
        <v>2.1273276791912262E-2</v>
      </c>
      <c r="R306" s="16"/>
    </row>
    <row r="307" spans="1:18" x14ac:dyDescent="0.25">
      <c r="A307" s="27" t="s">
        <v>34</v>
      </c>
      <c r="B307" s="45">
        <v>7.830000000000001</v>
      </c>
      <c r="C307" s="45">
        <v>7.82</v>
      </c>
      <c r="D307" s="45">
        <v>7.8500000000000005</v>
      </c>
      <c r="E307" s="28">
        <f t="shared" si="147"/>
        <v>23.500000000000004</v>
      </c>
      <c r="F307" s="28">
        <f t="shared" si="148"/>
        <v>7.8333333333333348</v>
      </c>
      <c r="G307" s="28" t="s">
        <v>35</v>
      </c>
      <c r="H307" s="28">
        <f>D301-1</f>
        <v>17</v>
      </c>
      <c r="I307" s="28">
        <f>B326</f>
        <v>3.7213985304329071</v>
      </c>
      <c r="J307" s="28">
        <f t="shared" ref="J307:J311" si="149">I307/H307</f>
        <v>0.21890579590781806</v>
      </c>
      <c r="K307" s="28">
        <f>J307/$J$16</f>
        <v>23.070756870337561</v>
      </c>
      <c r="L307" s="28">
        <f>FINV(0.05,H307,$H$16)</f>
        <v>1.9332068318040869</v>
      </c>
      <c r="M307" s="34" t="str">
        <f t="shared" ref="M307" si="150">IF(K307&gt;=L307, "S", "NS")</f>
        <v>S</v>
      </c>
      <c r="N307" s="25" t="s">
        <v>36</v>
      </c>
      <c r="O307" s="25" t="s">
        <v>37</v>
      </c>
      <c r="P307" s="54">
        <f>SQRT((2*J311)/(3*9))*L312</f>
        <v>6.1139987772446835E-2</v>
      </c>
      <c r="R307" s="16"/>
    </row>
    <row r="308" spans="1:18" x14ac:dyDescent="0.25">
      <c r="A308" s="27" t="s">
        <v>38</v>
      </c>
      <c r="B308" s="45">
        <v>7.8874720000000007</v>
      </c>
      <c r="C308" s="45">
        <v>7.8800000000000008</v>
      </c>
      <c r="D308" s="45">
        <v>7.87</v>
      </c>
      <c r="E308" s="28">
        <f t="shared" si="147"/>
        <v>23.637472000000002</v>
      </c>
      <c r="F308" s="28">
        <f t="shared" si="148"/>
        <v>7.8791573333333345</v>
      </c>
      <c r="G308" s="28" t="s">
        <v>39</v>
      </c>
      <c r="H308" s="28">
        <f>B300-1</f>
        <v>1</v>
      </c>
      <c r="I308" s="28">
        <f>(SUM(E304:E312)^2+SUM(E313:E321)^2)/27-B324</f>
        <v>3.6127828531634805</v>
      </c>
      <c r="J308" s="28">
        <f t="shared" si="149"/>
        <v>3.6127828531634805</v>
      </c>
      <c r="K308" s="28">
        <f>J308/$J$16</f>
        <v>380.75572410041582</v>
      </c>
      <c r="L308" s="28">
        <f>FINV(0.05,H308,$H$16)</f>
        <v>4.1300177456520188</v>
      </c>
      <c r="M308" s="28" t="str">
        <f>IF(K308&gt;=L308, "S", "NS")</f>
        <v>S</v>
      </c>
      <c r="N308" s="21"/>
      <c r="O308" s="30">
        <v>1</v>
      </c>
      <c r="P308" s="33">
        <f>(F304+F313)/2</f>
        <v>7.5716666666666672</v>
      </c>
      <c r="Q308" s="31" t="e">
        <f>RANK(P308,P$109:P$117,0)</f>
        <v>#N/A</v>
      </c>
      <c r="R308" s="35">
        <v>9</v>
      </c>
    </row>
    <row r="309" spans="1:18" x14ac:dyDescent="0.25">
      <c r="A309" s="27" t="s">
        <v>40</v>
      </c>
      <c r="B309" s="45">
        <v>7.87</v>
      </c>
      <c r="C309" s="45">
        <v>7.8800000000000008</v>
      </c>
      <c r="D309" s="45">
        <v>7.8800000000000008</v>
      </c>
      <c r="E309" s="28">
        <f t="shared" si="147"/>
        <v>23.630000000000003</v>
      </c>
      <c r="F309" s="28">
        <f t="shared" si="148"/>
        <v>7.8766666666666678</v>
      </c>
      <c r="G309" s="28" t="s">
        <v>41</v>
      </c>
      <c r="H309" s="28">
        <f>B301-1</f>
        <v>8</v>
      </c>
      <c r="I309" s="28">
        <f>((E304+E313)^2+(E305+E314)^2+(E306+E315)^2+(E307+E316)^2+(E308+E317)^2+(E309+E318)^2+(E310+E319)^2+(E311+E320)^2+(E312+E321)^2/6)-B324</f>
        <v>13756.388483190956</v>
      </c>
      <c r="J309" s="28">
        <f t="shared" si="149"/>
        <v>1719.5485603988695</v>
      </c>
      <c r="K309" s="28">
        <f>J309/$J$16</f>
        <v>181225.38327129078</v>
      </c>
      <c r="L309" s="28">
        <f>FINV(0.05,H309,$H$16)</f>
        <v>2.2253399674380931</v>
      </c>
      <c r="M309" s="28" t="str">
        <f>IF(K309&gt;=L309, "S", "NS")</f>
        <v>S</v>
      </c>
      <c r="N309" s="21"/>
      <c r="O309" s="30">
        <v>2</v>
      </c>
      <c r="P309" s="33">
        <f t="shared" ref="P309:P316" si="151">(F305+F314)/2</f>
        <v>7.6050000000000004</v>
      </c>
      <c r="Q309" s="31" t="e">
        <f t="shared" ref="Q309:Q316" si="152">RANK(P309,P$109:P$117,0)</f>
        <v>#N/A</v>
      </c>
      <c r="R309" s="37">
        <v>5</v>
      </c>
    </row>
    <row r="310" spans="1:18" x14ac:dyDescent="0.25">
      <c r="A310" s="27" t="s">
        <v>42</v>
      </c>
      <c r="B310" s="45">
        <v>7.66</v>
      </c>
      <c r="C310" s="45">
        <v>7.93</v>
      </c>
      <c r="D310" s="45">
        <v>7.95</v>
      </c>
      <c r="E310" s="28">
        <f t="shared" si="147"/>
        <v>23.54</v>
      </c>
      <c r="F310" s="28">
        <f t="shared" si="148"/>
        <v>7.8466666666666667</v>
      </c>
      <c r="G310" s="38" t="s">
        <v>43</v>
      </c>
      <c r="H310" s="28">
        <f>H308*H309</f>
        <v>8</v>
      </c>
      <c r="I310" s="28">
        <f>I307-(I308+I309)</f>
        <v>-13756.279867513687</v>
      </c>
      <c r="J310" s="28">
        <f t="shared" si="149"/>
        <v>-1719.5349834392109</v>
      </c>
      <c r="K310" s="39">
        <f>J310/$J$16</f>
        <v>-181223.95237845386</v>
      </c>
      <c r="L310" s="28">
        <f>FINV(0.05,H310,$H$16)</f>
        <v>2.2253399674380931</v>
      </c>
      <c r="M310" s="28" t="str">
        <f t="shared" ref="M310" si="153">IF(K310&gt;=L310, "S", "NS")</f>
        <v>NS</v>
      </c>
      <c r="N310" s="21"/>
      <c r="O310" s="30">
        <v>3</v>
      </c>
      <c r="P310" s="33">
        <f t="shared" si="151"/>
        <v>7.5249999999999995</v>
      </c>
      <c r="Q310" s="31" t="e">
        <f t="shared" si="152"/>
        <v>#N/A</v>
      </c>
      <c r="R310" s="37">
        <v>2</v>
      </c>
    </row>
    <row r="311" spans="1:18" x14ac:dyDescent="0.25">
      <c r="A311" s="27" t="s">
        <v>44</v>
      </c>
      <c r="B311" s="45">
        <v>7.86</v>
      </c>
      <c r="C311" s="45">
        <v>7.58</v>
      </c>
      <c r="D311" s="45">
        <v>7.7</v>
      </c>
      <c r="E311" s="28">
        <f t="shared" si="147"/>
        <v>23.14</v>
      </c>
      <c r="F311" s="28">
        <f t="shared" si="148"/>
        <v>7.7133333333333338</v>
      </c>
      <c r="G311" s="40" t="s">
        <v>45</v>
      </c>
      <c r="H311" s="28">
        <f>((B302-1)*(B300*B301-1))</f>
        <v>34</v>
      </c>
      <c r="I311" s="28">
        <f>D326</f>
        <v>0.4154430164171572</v>
      </c>
      <c r="J311" s="28">
        <f t="shared" si="149"/>
        <v>1.2218912247563447E-2</v>
      </c>
      <c r="O311" s="30">
        <v>4</v>
      </c>
      <c r="P311" s="33">
        <f t="shared" si="151"/>
        <v>7.5650000000000013</v>
      </c>
      <c r="Q311" s="31" t="e">
        <f t="shared" si="152"/>
        <v>#N/A</v>
      </c>
      <c r="R311" s="37">
        <v>7</v>
      </c>
    </row>
    <row r="312" spans="1:18" x14ac:dyDescent="0.25">
      <c r="A312" s="27" t="s">
        <v>46</v>
      </c>
      <c r="B312" s="45">
        <v>7.8500000000000005</v>
      </c>
      <c r="C312" s="45">
        <v>7.8400000000000007</v>
      </c>
      <c r="D312" s="45">
        <v>7.8500000000000005</v>
      </c>
      <c r="E312" s="28">
        <f t="shared" si="147"/>
        <v>23.540000000000003</v>
      </c>
      <c r="F312" s="28">
        <f t="shared" si="148"/>
        <v>7.8466666666666676</v>
      </c>
      <c r="G312" s="39" t="s">
        <v>20</v>
      </c>
      <c r="H312" s="28">
        <f>SUM(H306:H311)-H307</f>
        <v>53</v>
      </c>
      <c r="I312" s="28">
        <f>B325</f>
        <v>4.1640855642876886</v>
      </c>
      <c r="K312" s="28" t="s">
        <v>47</v>
      </c>
      <c r="L312" s="16">
        <f>TINV(0.05,34)</f>
        <v>2.0322445093177191</v>
      </c>
      <c r="O312" s="30">
        <v>5</v>
      </c>
      <c r="P312" s="33">
        <f t="shared" si="151"/>
        <v>7.6212453333333343</v>
      </c>
      <c r="Q312" s="31" t="e">
        <f t="shared" si="152"/>
        <v>#N/A</v>
      </c>
      <c r="R312" s="35">
        <v>3</v>
      </c>
    </row>
    <row r="313" spans="1:18" x14ac:dyDescent="0.25">
      <c r="A313" s="27" t="s">
        <v>48</v>
      </c>
      <c r="B313" s="45">
        <v>7.25</v>
      </c>
      <c r="C313" s="45">
        <v>7.47</v>
      </c>
      <c r="D313" s="45">
        <v>7.3599999999999994</v>
      </c>
      <c r="E313" s="28">
        <f t="shared" si="147"/>
        <v>22.08</v>
      </c>
      <c r="F313" s="28">
        <f t="shared" si="148"/>
        <v>7.3599999999999994</v>
      </c>
      <c r="G313" s="42" t="s">
        <v>33</v>
      </c>
      <c r="H313" s="28">
        <f>SQRT(J311/3)</f>
        <v>6.3819830375736783E-2</v>
      </c>
      <c r="O313" s="30">
        <v>6</v>
      </c>
      <c r="P313" s="33">
        <f t="shared" si="151"/>
        <v>7.5833333333333339</v>
      </c>
      <c r="Q313" s="31" t="e">
        <f t="shared" si="152"/>
        <v>#N/A</v>
      </c>
      <c r="R313" s="37">
        <v>1</v>
      </c>
    </row>
    <row r="314" spans="1:18" x14ac:dyDescent="0.25">
      <c r="A314" s="27" t="s">
        <v>49</v>
      </c>
      <c r="B314" s="45">
        <v>7.3</v>
      </c>
      <c r="C314" s="45">
        <v>7.36</v>
      </c>
      <c r="D314" s="45">
        <v>7.3699999999999992</v>
      </c>
      <c r="E314" s="28">
        <f t="shared" si="147"/>
        <v>22.03</v>
      </c>
      <c r="F314" s="28">
        <f t="shared" si="148"/>
        <v>7.3433333333333337</v>
      </c>
      <c r="G314" s="42" t="s">
        <v>37</v>
      </c>
      <c r="H314" s="28">
        <f>(SQRT((2*J311)/3))*L312</f>
        <v>0.18341996331734048</v>
      </c>
      <c r="O314" s="30">
        <v>7</v>
      </c>
      <c r="P314" s="33">
        <f t="shared" si="151"/>
        <v>7.5883333333333329</v>
      </c>
      <c r="Q314" s="31" t="e">
        <f t="shared" si="152"/>
        <v>#N/A</v>
      </c>
      <c r="R314" s="37">
        <v>6</v>
      </c>
    </row>
    <row r="315" spans="1:18" x14ac:dyDescent="0.25">
      <c r="A315" s="27" t="s">
        <v>50</v>
      </c>
      <c r="B315" s="45">
        <v>7.26</v>
      </c>
      <c r="C315" s="45">
        <v>7.2299999999999995</v>
      </c>
      <c r="D315" s="45">
        <v>7.2299999999999995</v>
      </c>
      <c r="E315" s="28">
        <f t="shared" si="147"/>
        <v>21.72</v>
      </c>
      <c r="F315" s="28">
        <f t="shared" si="148"/>
        <v>7.2399999999999993</v>
      </c>
      <c r="G315" s="42" t="s">
        <v>51</v>
      </c>
      <c r="H315" s="28">
        <f>((SQRT(J311))/F322)*100</f>
        <v>1.4602718173291924</v>
      </c>
      <c r="O315" s="30">
        <v>8</v>
      </c>
      <c r="P315" s="33">
        <f t="shared" si="151"/>
        <v>7.5066666666666668</v>
      </c>
      <c r="Q315" s="31" t="e">
        <f t="shared" si="152"/>
        <v>#N/A</v>
      </c>
      <c r="R315" s="35">
        <v>4</v>
      </c>
    </row>
    <row r="316" spans="1:18" x14ac:dyDescent="0.25">
      <c r="A316" s="27" t="s">
        <v>52</v>
      </c>
      <c r="B316" s="45">
        <v>7.29</v>
      </c>
      <c r="C316" s="45">
        <v>7.3</v>
      </c>
      <c r="D316" s="45">
        <v>7.3</v>
      </c>
      <c r="E316" s="28">
        <f t="shared" si="147"/>
        <v>21.89</v>
      </c>
      <c r="F316" s="28">
        <f t="shared" si="148"/>
        <v>7.2966666666666669</v>
      </c>
      <c r="H316" s="27" t="s">
        <v>22</v>
      </c>
      <c r="I316" s="46">
        <f>B304-0.06</f>
        <v>7.7300000000000013</v>
      </c>
      <c r="J316" s="46">
        <f t="shared" ref="J316:K324" si="154">C304-0.06</f>
        <v>7.7100000000000009</v>
      </c>
      <c r="K316" s="46">
        <f t="shared" si="154"/>
        <v>7.7300000000000013</v>
      </c>
      <c r="O316" s="30">
        <v>9</v>
      </c>
      <c r="P316" s="33">
        <f t="shared" si="151"/>
        <v>7.5616666666666674</v>
      </c>
      <c r="Q316" s="31" t="e">
        <f t="shared" si="152"/>
        <v>#N/A</v>
      </c>
      <c r="R316" s="37">
        <v>8</v>
      </c>
    </row>
    <row r="317" spans="1:18" x14ac:dyDescent="0.25">
      <c r="A317" s="27" t="s">
        <v>53</v>
      </c>
      <c r="B317" s="45">
        <v>7.3699999999999992</v>
      </c>
      <c r="C317" s="45">
        <v>7.3299999999999992</v>
      </c>
      <c r="D317" s="45">
        <v>7.39</v>
      </c>
      <c r="E317" s="28">
        <f t="shared" si="147"/>
        <v>22.09</v>
      </c>
      <c r="F317" s="28">
        <f t="shared" si="148"/>
        <v>7.3633333333333333</v>
      </c>
      <c r="H317" s="27" t="s">
        <v>24</v>
      </c>
      <c r="I317" s="46">
        <f t="shared" ref="I317:I324" si="155">B305-0.06</f>
        <v>7.9</v>
      </c>
      <c r="J317" s="46">
        <f t="shared" si="154"/>
        <v>7.7</v>
      </c>
      <c r="K317" s="46">
        <f t="shared" si="154"/>
        <v>7.8200000000000012</v>
      </c>
      <c r="O317" s="25" t="s">
        <v>33</v>
      </c>
      <c r="P317" s="33">
        <f>SQRT(J311/(3*2))</f>
        <v>4.5127434832858686E-2</v>
      </c>
      <c r="Q317" s="31"/>
    </row>
    <row r="318" spans="1:18" x14ac:dyDescent="0.25">
      <c r="A318" s="27" t="s">
        <v>55</v>
      </c>
      <c r="B318" s="45">
        <v>7.3</v>
      </c>
      <c r="C318" s="45">
        <v>7.27</v>
      </c>
      <c r="D318" s="45">
        <v>7.3</v>
      </c>
      <c r="E318" s="28">
        <f t="shared" si="147"/>
        <v>21.87</v>
      </c>
      <c r="F318" s="28">
        <f t="shared" si="148"/>
        <v>7.29</v>
      </c>
      <c r="H318" s="27" t="s">
        <v>31</v>
      </c>
      <c r="I318" s="46">
        <f t="shared" si="155"/>
        <v>7.79</v>
      </c>
      <c r="J318" s="46">
        <f t="shared" si="154"/>
        <v>7.57</v>
      </c>
      <c r="K318" s="46">
        <f t="shared" si="154"/>
        <v>7.8900000000000006</v>
      </c>
      <c r="N318" s="25" t="s">
        <v>41</v>
      </c>
      <c r="O318" s="25" t="s">
        <v>37</v>
      </c>
      <c r="P318" s="33">
        <f>SQRT((2*J311)/(3*2))*L312</f>
        <v>0.12969749986667925</v>
      </c>
      <c r="Q318" s="31"/>
    </row>
    <row r="319" spans="1:18" x14ac:dyDescent="0.25">
      <c r="A319" s="27" t="s">
        <v>56</v>
      </c>
      <c r="B319" s="45">
        <v>7.3</v>
      </c>
      <c r="C319" s="45">
        <v>7.1</v>
      </c>
      <c r="D319" s="45">
        <v>7.59</v>
      </c>
      <c r="E319" s="28">
        <f t="shared" si="147"/>
        <v>21.99</v>
      </c>
      <c r="F319" s="28">
        <f>E319/3</f>
        <v>7.3299999999999992</v>
      </c>
      <c r="H319" s="27" t="s">
        <v>34</v>
      </c>
      <c r="I319" s="46">
        <f t="shared" si="155"/>
        <v>7.7700000000000014</v>
      </c>
      <c r="J319" s="46">
        <f t="shared" si="154"/>
        <v>7.7600000000000007</v>
      </c>
      <c r="K319" s="46">
        <f t="shared" si="154"/>
        <v>7.7900000000000009</v>
      </c>
      <c r="Q319" s="31"/>
    </row>
    <row r="320" spans="1:18" x14ac:dyDescent="0.25">
      <c r="A320" s="27" t="s">
        <v>57</v>
      </c>
      <c r="B320" s="45">
        <v>7.34</v>
      </c>
      <c r="C320" s="45">
        <v>7.23</v>
      </c>
      <c r="D320" s="45">
        <v>7.33</v>
      </c>
      <c r="E320" s="28">
        <f t="shared" si="147"/>
        <v>21.9</v>
      </c>
      <c r="F320" s="28">
        <f t="shared" ref="F320:F321" si="156">E320/3</f>
        <v>7.3</v>
      </c>
      <c r="H320" s="27" t="s">
        <v>38</v>
      </c>
      <c r="I320" s="46">
        <f t="shared" si="155"/>
        <v>7.8274720000000011</v>
      </c>
      <c r="J320" s="46">
        <f t="shared" si="154"/>
        <v>7.8200000000000012</v>
      </c>
      <c r="K320" s="46">
        <f t="shared" si="154"/>
        <v>7.8100000000000005</v>
      </c>
    </row>
    <row r="321" spans="1:11" x14ac:dyDescent="0.25">
      <c r="A321" s="27" t="s">
        <v>58</v>
      </c>
      <c r="B321" s="45">
        <v>7.5</v>
      </c>
      <c r="C321" s="45">
        <v>7.31</v>
      </c>
      <c r="D321" s="45">
        <v>7.02</v>
      </c>
      <c r="E321" s="28">
        <f t="shared" si="147"/>
        <v>21.83</v>
      </c>
      <c r="F321" s="28">
        <f t="shared" si="156"/>
        <v>7.2766666666666664</v>
      </c>
      <c r="H321" s="27" t="s">
        <v>40</v>
      </c>
      <c r="I321" s="46">
        <f t="shared" si="155"/>
        <v>7.8100000000000005</v>
      </c>
      <c r="J321" s="46">
        <f t="shared" si="154"/>
        <v>7.8200000000000012</v>
      </c>
      <c r="K321" s="46">
        <f t="shared" si="154"/>
        <v>7.8200000000000012</v>
      </c>
    </row>
    <row r="322" spans="1:11" x14ac:dyDescent="0.25">
      <c r="A322" s="25" t="s">
        <v>20</v>
      </c>
      <c r="B322" s="28">
        <f>SUM(B304:B321)</f>
        <v>136.46747199999999</v>
      </c>
      <c r="C322" s="28">
        <f t="shared" ref="C322:D322" si="157">SUM(C304:C321)</f>
        <v>135.69</v>
      </c>
      <c r="D322" s="28">
        <f t="shared" si="157"/>
        <v>136.61000000000004</v>
      </c>
      <c r="E322" s="28">
        <f>SUM(E304:E321)</f>
        <v>408.76747199999994</v>
      </c>
      <c r="F322" s="28">
        <f>AVERAGE(B304:D321)</f>
        <v>7.5697680000000007</v>
      </c>
      <c r="H322" s="27" t="s">
        <v>42</v>
      </c>
      <c r="I322" s="46">
        <f t="shared" si="155"/>
        <v>7.6000000000000005</v>
      </c>
      <c r="J322" s="46">
        <f t="shared" si="154"/>
        <v>7.87</v>
      </c>
      <c r="K322" s="46">
        <f t="shared" si="154"/>
        <v>7.8900000000000006</v>
      </c>
    </row>
    <row r="323" spans="1:11" x14ac:dyDescent="0.25">
      <c r="A323" s="25" t="s">
        <v>11</v>
      </c>
      <c r="B323" s="28">
        <f>B322/18</f>
        <v>7.5815262222222213</v>
      </c>
      <c r="C323" s="28">
        <f>C322/18</f>
        <v>7.5383333333333331</v>
      </c>
      <c r="D323" s="28">
        <f>D322/18</f>
        <v>7.5894444444444469</v>
      </c>
      <c r="H323" s="27" t="s">
        <v>44</v>
      </c>
      <c r="I323" s="46">
        <f t="shared" si="155"/>
        <v>7.8000000000000007</v>
      </c>
      <c r="J323" s="46">
        <f t="shared" si="154"/>
        <v>7.5200000000000005</v>
      </c>
      <c r="K323" s="46">
        <f t="shared" si="154"/>
        <v>7.6400000000000006</v>
      </c>
    </row>
    <row r="324" spans="1:11" x14ac:dyDescent="0.25">
      <c r="A324" s="25" t="s">
        <v>59</v>
      </c>
      <c r="B324" s="28">
        <f>(E322*E322)/54</f>
        <v>3094.2749289864955</v>
      </c>
      <c r="C324" s="28"/>
      <c r="D324" s="28"/>
      <c r="H324" s="27" t="s">
        <v>46</v>
      </c>
      <c r="I324" s="46">
        <f t="shared" si="155"/>
        <v>7.7900000000000009</v>
      </c>
      <c r="J324" s="46">
        <f t="shared" si="154"/>
        <v>7.7800000000000011</v>
      </c>
      <c r="K324" s="46">
        <f t="shared" si="154"/>
        <v>7.7900000000000009</v>
      </c>
    </row>
    <row r="325" spans="1:11" x14ac:dyDescent="0.25">
      <c r="A325" s="25" t="s">
        <v>60</v>
      </c>
      <c r="B325" s="28">
        <f>SUMSQ(B304:D321)-B324</f>
        <v>4.1640855642876886</v>
      </c>
      <c r="C325" s="25" t="s">
        <v>61</v>
      </c>
      <c r="D325" s="28">
        <f>(SUMSQ(B322:D322)/18)-B324</f>
        <v>2.7244017437624279E-2</v>
      </c>
      <c r="H325" s="27" t="s">
        <v>48</v>
      </c>
      <c r="I325" s="46">
        <f>B313+0.01</f>
        <v>7.26</v>
      </c>
      <c r="J325" s="46">
        <f t="shared" ref="J325:K326" si="158">C313+0.01</f>
        <v>7.4799999999999995</v>
      </c>
      <c r="K325" s="46">
        <f t="shared" si="158"/>
        <v>7.3699999999999992</v>
      </c>
    </row>
    <row r="326" spans="1:11" x14ac:dyDescent="0.25">
      <c r="A326" s="25" t="s">
        <v>62</v>
      </c>
      <c r="B326" s="28">
        <f>(SUMSQ(E304:E321)/3)-B324</f>
        <v>3.7213985304329071</v>
      </c>
      <c r="C326" s="25" t="s">
        <v>63</v>
      </c>
      <c r="D326" s="28">
        <f>B325-B326-D325</f>
        <v>0.4154430164171572</v>
      </c>
      <c r="H326" s="27" t="s">
        <v>49</v>
      </c>
      <c r="I326" s="46">
        <f t="shared" ref="I326" si="159">B314+0.01</f>
        <v>7.31</v>
      </c>
      <c r="J326" s="46">
        <f t="shared" si="158"/>
        <v>7.37</v>
      </c>
      <c r="K326" s="46">
        <f t="shared" si="158"/>
        <v>7.379999999999999</v>
      </c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24"/>
  <sheetViews>
    <sheetView topLeftCell="A330" workbookViewId="0">
      <selection activeCell="K216" sqref="K216:L217"/>
    </sheetView>
  </sheetViews>
  <sheetFormatPr defaultColWidth="8.85546875" defaultRowHeight="15" x14ac:dyDescent="0.25"/>
  <cols>
    <col min="1" max="1" width="17.7109375" style="15" bestFit="1" customWidth="1"/>
    <col min="2" max="2" width="11.28515625" style="16" bestFit="1" customWidth="1"/>
    <col min="3" max="3" width="11.42578125" style="16" customWidth="1"/>
    <col min="4" max="4" width="9.5703125" style="16" bestFit="1" customWidth="1"/>
    <col min="5" max="6" width="9.140625" style="16" bestFit="1" customWidth="1"/>
    <col min="7" max="7" width="10.7109375" style="16" bestFit="1" customWidth="1"/>
    <col min="8" max="8" width="9.140625" style="16" bestFit="1" customWidth="1"/>
    <col min="9" max="9" width="13.42578125" style="16" customWidth="1"/>
    <col min="10" max="10" width="12.28515625" style="16" bestFit="1" customWidth="1"/>
    <col min="11" max="11" width="15.42578125" style="16" bestFit="1" customWidth="1"/>
    <col min="12" max="12" width="9.140625" style="16" bestFit="1" customWidth="1"/>
    <col min="13" max="13" width="9.5703125" style="16" bestFit="1" customWidth="1"/>
    <col min="14" max="14" width="9.5703125" style="16" customWidth="1"/>
    <col min="15" max="15" width="9.140625" style="16" bestFit="1" customWidth="1"/>
    <col min="16" max="16" width="12.28515625" style="16" bestFit="1" customWidth="1"/>
    <col min="17" max="17" width="9.85546875" style="15" customWidth="1"/>
    <col min="18" max="16384" width="8.85546875" style="15"/>
  </cols>
  <sheetData>
    <row r="2" spans="1:28" x14ac:dyDescent="0.25">
      <c r="C2" s="17">
        <v>2019</v>
      </c>
    </row>
    <row r="3" spans="1:28" ht="15.75" x14ac:dyDescent="0.25">
      <c r="C3" s="50" t="s">
        <v>98</v>
      </c>
    </row>
    <row r="5" spans="1:28" x14ac:dyDescent="0.25">
      <c r="A5" s="19" t="s">
        <v>13</v>
      </c>
      <c r="B5" s="20">
        <v>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1"/>
      <c r="P5" s="21"/>
    </row>
    <row r="6" spans="1:28" x14ac:dyDescent="0.25">
      <c r="A6" s="19" t="s">
        <v>14</v>
      </c>
      <c r="B6" s="20">
        <v>9</v>
      </c>
      <c r="C6" s="21" t="s">
        <v>15</v>
      </c>
      <c r="D6" s="21">
        <v>18</v>
      </c>
      <c r="E6" s="21"/>
      <c r="F6" s="21"/>
      <c r="G6" s="21"/>
      <c r="H6" s="21"/>
      <c r="I6" s="21"/>
      <c r="J6" s="21"/>
      <c r="K6" s="21"/>
      <c r="L6" s="21"/>
      <c r="M6" s="22"/>
      <c r="N6" s="22"/>
      <c r="O6" s="21"/>
      <c r="P6" s="21"/>
    </row>
    <row r="7" spans="1:28" x14ac:dyDescent="0.25">
      <c r="A7" s="15" t="s">
        <v>16</v>
      </c>
      <c r="B7" s="23">
        <v>3</v>
      </c>
    </row>
    <row r="8" spans="1:28" x14ac:dyDescent="0.25">
      <c r="A8" s="24" t="s">
        <v>0</v>
      </c>
      <c r="B8" s="25" t="s">
        <v>17</v>
      </c>
      <c r="C8" s="25" t="s">
        <v>18</v>
      </c>
      <c r="D8" s="25" t="s">
        <v>19</v>
      </c>
      <c r="E8" s="25" t="s">
        <v>20</v>
      </c>
      <c r="F8" s="25" t="s">
        <v>11</v>
      </c>
      <c r="O8" s="16" t="s">
        <v>21</v>
      </c>
      <c r="S8" s="26"/>
      <c r="T8" s="26"/>
      <c r="U8" s="26"/>
    </row>
    <row r="9" spans="1:28" x14ac:dyDescent="0.25">
      <c r="A9" s="27" t="s">
        <v>22</v>
      </c>
      <c r="B9" s="7">
        <f>'Water foot print'!Q7</f>
        <v>0.21199999999999999</v>
      </c>
      <c r="C9" s="7">
        <f>'Water foot print'!R7</f>
        <v>0.1888</v>
      </c>
      <c r="D9" s="7">
        <f>'Water foot print'!S7</f>
        <v>0.17247999999999999</v>
      </c>
      <c r="E9" s="28">
        <f t="shared" ref="E9:E26" si="0">SUM(B9:D9)</f>
        <v>0.57328000000000001</v>
      </c>
      <c r="F9" s="28">
        <f>E9/3</f>
        <v>0.19109333333333334</v>
      </c>
      <c r="H9" s="29"/>
      <c r="I9" s="29"/>
      <c r="J9" s="29" t="s">
        <v>23</v>
      </c>
      <c r="K9" s="29"/>
      <c r="L9" s="29"/>
      <c r="M9" s="29"/>
      <c r="N9" s="29"/>
      <c r="O9" s="30">
        <v>1</v>
      </c>
      <c r="P9" s="33">
        <f>SUM(F9:F17)/9</f>
        <v>0.35690454267306576</v>
      </c>
      <c r="Q9" s="31">
        <f>RANK(P9,P$9:P$10,0)</f>
        <v>2</v>
      </c>
      <c r="S9" s="24" t="s">
        <v>0</v>
      </c>
      <c r="T9" s="25" t="s">
        <v>17</v>
      </c>
      <c r="U9" s="25" t="s">
        <v>18</v>
      </c>
      <c r="V9" s="25" t="s">
        <v>19</v>
      </c>
    </row>
    <row r="10" spans="1:28" x14ac:dyDescent="0.25">
      <c r="A10" s="27" t="s">
        <v>24</v>
      </c>
      <c r="B10" s="7">
        <f>'Water foot print'!Q8</f>
        <v>0.32416666666666666</v>
      </c>
      <c r="C10" s="7">
        <f>'Water foot print'!R8</f>
        <v>0.35166666666666668</v>
      </c>
      <c r="D10" s="7">
        <f>'Water foot print'!S8</f>
        <v>0.36249999999999999</v>
      </c>
      <c r="E10" s="28">
        <f t="shared" si="0"/>
        <v>1.0383333333333333</v>
      </c>
      <c r="F10" s="28">
        <f t="shared" ref="F10:F26" si="1">E10/3</f>
        <v>0.34611111111111109</v>
      </c>
      <c r="G10" s="28"/>
      <c r="H10" s="25" t="s">
        <v>25</v>
      </c>
      <c r="I10" s="25" t="s">
        <v>26</v>
      </c>
      <c r="J10" s="25" t="s">
        <v>27</v>
      </c>
      <c r="K10" s="25" t="s">
        <v>28</v>
      </c>
      <c r="L10" s="25" t="s">
        <v>29</v>
      </c>
      <c r="M10" s="25" t="s">
        <v>30</v>
      </c>
      <c r="N10" s="32"/>
      <c r="O10" s="30">
        <v>2</v>
      </c>
      <c r="P10" s="33">
        <f>SUM(F18:F26)/9</f>
        <v>0.41244956290090906</v>
      </c>
      <c r="Q10" s="31">
        <f>RANK(P10,P$9:P$10,0)</f>
        <v>1</v>
      </c>
      <c r="S10" s="27" t="s">
        <v>22</v>
      </c>
      <c r="T10" s="9">
        <f>B9*100</f>
        <v>21.2</v>
      </c>
      <c r="U10" s="9">
        <f t="shared" ref="U10:V25" si="2">C9*100</f>
        <v>18.88</v>
      </c>
      <c r="V10" s="9">
        <f t="shared" si="2"/>
        <v>17.248000000000001</v>
      </c>
      <c r="X10" s="55"/>
      <c r="Y10" s="55" t="s">
        <v>88</v>
      </c>
    </row>
    <row r="11" spans="1:28" x14ac:dyDescent="0.25">
      <c r="A11" s="27" t="s">
        <v>31</v>
      </c>
      <c r="B11" s="7">
        <f>'Water foot print'!Q9</f>
        <v>0.40840336134453781</v>
      </c>
      <c r="C11" s="7">
        <f>'Water foot print'!R9</f>
        <v>0.39966386554621847</v>
      </c>
      <c r="D11" s="7">
        <f>'Water foot print'!S9</f>
        <v>0.38487394957983195</v>
      </c>
      <c r="E11" s="28">
        <f t="shared" si="0"/>
        <v>1.1929411764705882</v>
      </c>
      <c r="F11" s="28">
        <f t="shared" si="1"/>
        <v>0.39764705882352941</v>
      </c>
      <c r="G11" s="28" t="s">
        <v>32</v>
      </c>
      <c r="H11" s="28">
        <f>B7-1</f>
        <v>2</v>
      </c>
      <c r="I11" s="28">
        <f>D30</f>
        <v>3.4805332239606912E-4</v>
      </c>
      <c r="J11" s="28">
        <f>I11/H11</f>
        <v>1.7402666119803456E-4</v>
      </c>
      <c r="K11" s="28">
        <f>J11/$J$16</f>
        <v>0.35064109793287501</v>
      </c>
      <c r="L11" s="28">
        <f>FINV(0.05,H11,$H$16)</f>
        <v>3.275897990672394</v>
      </c>
      <c r="M11" s="28" t="str">
        <f>IF(K11&gt;=L11, "S", "NS")</f>
        <v>NS</v>
      </c>
      <c r="N11" s="21"/>
      <c r="O11" s="25" t="s">
        <v>33</v>
      </c>
      <c r="P11" s="33">
        <f>SQRT(J16/(3*9))</f>
        <v>4.2874059191665616E-3</v>
      </c>
      <c r="S11" s="27" t="s">
        <v>24</v>
      </c>
      <c r="T11" s="9">
        <f t="shared" ref="T11:V27" si="3">B10*100</f>
        <v>32.416666666666664</v>
      </c>
      <c r="U11" s="9">
        <f t="shared" si="2"/>
        <v>35.166666666666671</v>
      </c>
      <c r="V11" s="9">
        <f t="shared" si="2"/>
        <v>36.25</v>
      </c>
      <c r="X11" s="27" t="s">
        <v>89</v>
      </c>
      <c r="Y11" s="56">
        <v>0</v>
      </c>
      <c r="AB11" s="52">
        <f>(T11-T10)/Y12</f>
        <v>7.4777777777777762E-2</v>
      </c>
    </row>
    <row r="12" spans="1:28" x14ac:dyDescent="0.25">
      <c r="A12" s="27" t="s">
        <v>34</v>
      </c>
      <c r="B12" s="7">
        <f>'Water foot print'!Q10</f>
        <v>0.32991452991452991</v>
      </c>
      <c r="C12" s="7">
        <f>'Water foot print'!R10</f>
        <v>0.32307692307692304</v>
      </c>
      <c r="D12" s="7">
        <f>'Water foot print'!S10</f>
        <v>0.30940170940170947</v>
      </c>
      <c r="E12" s="28">
        <f t="shared" si="0"/>
        <v>0.9623931623931623</v>
      </c>
      <c r="F12" s="28">
        <f t="shared" si="1"/>
        <v>0.32079772079772079</v>
      </c>
      <c r="G12" s="28" t="s">
        <v>35</v>
      </c>
      <c r="H12" s="28">
        <f>D6-1</f>
        <v>17</v>
      </c>
      <c r="I12" s="28">
        <f>B31</f>
        <v>0.4327350843183515</v>
      </c>
      <c r="J12" s="28">
        <f t="shared" ref="J12:J16" si="4">I12/H12</f>
        <v>2.5455004959903028E-2</v>
      </c>
      <c r="K12" s="28">
        <f>J12/$J$16</f>
        <v>51.288525709691555</v>
      </c>
      <c r="L12" s="28">
        <f>FINV(0.05,H12,$H$16)</f>
        <v>1.9332068318040869</v>
      </c>
      <c r="M12" s="34" t="str">
        <f t="shared" ref="M12:M15" si="5">IF(K12&gt;=L12, "S", "NS")</f>
        <v>S</v>
      </c>
      <c r="N12" s="25" t="s">
        <v>36</v>
      </c>
      <c r="O12" s="25" t="s">
        <v>37</v>
      </c>
      <c r="P12" s="33">
        <f>SQRT((2*J16)/(3*9))*L17</f>
        <v>1.2322123574917141E-2</v>
      </c>
      <c r="S12" s="27" t="s">
        <v>31</v>
      </c>
      <c r="T12" s="9">
        <f t="shared" si="3"/>
        <v>40.840336134453779</v>
      </c>
      <c r="U12" s="9">
        <f t="shared" si="2"/>
        <v>39.966386554621849</v>
      </c>
      <c r="V12" s="9">
        <f t="shared" si="2"/>
        <v>38.487394957983199</v>
      </c>
      <c r="X12" s="27" t="s">
        <v>90</v>
      </c>
      <c r="Y12" s="56">
        <v>150</v>
      </c>
    </row>
    <row r="13" spans="1:28" x14ac:dyDescent="0.25">
      <c r="A13" s="27" t="s">
        <v>38</v>
      </c>
      <c r="B13" s="7">
        <f>'Water foot print'!Q11</f>
        <v>0.39826086956521739</v>
      </c>
      <c r="C13" s="7">
        <f>'Water foot print'!R11</f>
        <v>0.41391304347826086</v>
      </c>
      <c r="D13" s="7">
        <f>'Water foot print'!S11</f>
        <v>0.38695652173913042</v>
      </c>
      <c r="E13" s="28">
        <f t="shared" si="0"/>
        <v>1.1991304347826086</v>
      </c>
      <c r="F13" s="28">
        <f t="shared" si="1"/>
        <v>0.3997101449275362</v>
      </c>
      <c r="G13" s="28" t="s">
        <v>39</v>
      </c>
      <c r="H13" s="28">
        <f>B5-1</f>
        <v>1</v>
      </c>
      <c r="I13" s="28">
        <f>(SUM(E9:E17)^2+SUM(E18:E26)^2)/27-B29</f>
        <v>4.1650865173502361E-2</v>
      </c>
      <c r="J13" s="28">
        <f t="shared" si="4"/>
        <v>4.1650865173502361E-2</v>
      </c>
      <c r="K13" s="28">
        <f>J13/$J$16</f>
        <v>83.921078493092168</v>
      </c>
      <c r="L13" s="28">
        <f>FINV(0.05,H13,$H$16)</f>
        <v>4.1300177456520188</v>
      </c>
      <c r="M13" s="28" t="str">
        <f>IF(K13&gt;=L13, "S", "NS")</f>
        <v>S</v>
      </c>
      <c r="N13" s="21"/>
      <c r="O13" s="30">
        <v>1</v>
      </c>
      <c r="P13" s="33">
        <f>(F9+F18)/2</f>
        <v>0.19447633027522937</v>
      </c>
      <c r="Q13" s="31">
        <f>RANK(P13,P$13:P$21,0)</f>
        <v>9</v>
      </c>
      <c r="R13" s="35">
        <v>9</v>
      </c>
      <c r="S13" s="27" t="s">
        <v>34</v>
      </c>
      <c r="T13" s="9">
        <f t="shared" si="3"/>
        <v>32.991452991452988</v>
      </c>
      <c r="U13" s="9">
        <f t="shared" si="2"/>
        <v>32.307692307692307</v>
      </c>
      <c r="V13" s="9">
        <f t="shared" si="2"/>
        <v>30.940170940170947</v>
      </c>
      <c r="X13" s="27" t="s">
        <v>91</v>
      </c>
      <c r="Y13" s="56">
        <v>187.5</v>
      </c>
    </row>
    <row r="14" spans="1:28" x14ac:dyDescent="0.25">
      <c r="A14" s="27" t="s">
        <v>40</v>
      </c>
      <c r="B14" s="7">
        <f>'Water foot print'!Q12</f>
        <v>0.48867924528301887</v>
      </c>
      <c r="C14" s="7">
        <f>'Water foot print'!R12</f>
        <v>0.46981132075471699</v>
      </c>
      <c r="D14" s="7">
        <f>'Water foot print'!S12</f>
        <v>0.45094339622641511</v>
      </c>
      <c r="E14" s="28">
        <f t="shared" si="0"/>
        <v>1.409433962264151</v>
      </c>
      <c r="F14" s="28">
        <f t="shared" si="1"/>
        <v>0.46981132075471699</v>
      </c>
      <c r="G14" s="28" t="s">
        <v>41</v>
      </c>
      <c r="H14" s="28">
        <f>B6-1</f>
        <v>8</v>
      </c>
      <c r="I14" s="28">
        <f>((E9+E18)^2+(E10+E19)^2+(E11+E20)^2+(E12+E21)^2+(E13+E22)^2+(E14+E23)^2+(E15+E24)^2+(E16+E25)^2+(E17+E26)^2/6)-B29</f>
        <v>37.724551460502163</v>
      </c>
      <c r="J14" s="28">
        <f t="shared" si="4"/>
        <v>4.7155689325627703</v>
      </c>
      <c r="K14" s="28">
        <f>J14/$J$16</f>
        <v>9501.2583503535006</v>
      </c>
      <c r="L14" s="28">
        <f>FINV(0.05,H14,$H$16)</f>
        <v>2.2253399674380931</v>
      </c>
      <c r="M14" s="28" t="str">
        <f>IF(K14&gt;=L14, "S", "NS")</f>
        <v>S</v>
      </c>
      <c r="N14" s="21"/>
      <c r="O14" s="30">
        <v>2</v>
      </c>
      <c r="P14" s="33">
        <f t="shared" ref="P14:P21" si="6">(F10+F19)/2</f>
        <v>0.35025681341719073</v>
      </c>
      <c r="Q14" s="31">
        <f t="shared" ref="Q14:Q21" si="7">RANK(P14,P$13:P$21,0)</f>
        <v>7</v>
      </c>
      <c r="R14" s="37">
        <v>5</v>
      </c>
      <c r="S14" s="27" t="s">
        <v>38</v>
      </c>
      <c r="T14" s="9">
        <f t="shared" si="3"/>
        <v>39.826086956521742</v>
      </c>
      <c r="U14" s="9">
        <f t="shared" si="2"/>
        <v>41.391304347826086</v>
      </c>
      <c r="V14" s="9">
        <f t="shared" si="2"/>
        <v>38.695652173913039</v>
      </c>
      <c r="X14" s="27" t="s">
        <v>92</v>
      </c>
      <c r="Y14" s="56">
        <v>71.599999999999994</v>
      </c>
    </row>
    <row r="15" spans="1:28" x14ac:dyDescent="0.25">
      <c r="A15" s="27" t="s">
        <v>42</v>
      </c>
      <c r="B15" s="7">
        <f>'Water foot print'!Q13</f>
        <v>0.36216216216216213</v>
      </c>
      <c r="C15" s="7">
        <f>'Water foot print'!R13</f>
        <v>0.35585585585585577</v>
      </c>
      <c r="D15" s="7">
        <f>'Water foot print'!S13</f>
        <v>0.35045045045045037</v>
      </c>
      <c r="E15" s="28">
        <f t="shared" si="0"/>
        <v>1.0684684684684682</v>
      </c>
      <c r="F15" s="28">
        <f t="shared" si="1"/>
        <v>0.35615615615615609</v>
      </c>
      <c r="G15" s="38" t="s">
        <v>43</v>
      </c>
      <c r="H15" s="28">
        <f>H13*H14</f>
        <v>8</v>
      </c>
      <c r="I15" s="28">
        <f>I12-(I13+I14)</f>
        <v>-37.333467241357312</v>
      </c>
      <c r="J15" s="28">
        <f t="shared" si="4"/>
        <v>-4.666683405169664</v>
      </c>
      <c r="K15" s="39">
        <f>J15/$J$16</f>
        <v>-9402.7603680320408</v>
      </c>
      <c r="L15" s="28">
        <f>FINV(0.05,H15,$H$16)</f>
        <v>2.2253399674380931</v>
      </c>
      <c r="M15" s="28" t="str">
        <f t="shared" si="5"/>
        <v>NS</v>
      </c>
      <c r="N15" s="21"/>
      <c r="O15" s="30">
        <v>3</v>
      </c>
      <c r="P15" s="33">
        <f t="shared" si="6"/>
        <v>0.42660130718954248</v>
      </c>
      <c r="Q15" s="31">
        <f t="shared" si="7"/>
        <v>3</v>
      </c>
      <c r="R15" s="37">
        <v>2</v>
      </c>
      <c r="S15" s="27" t="s">
        <v>40</v>
      </c>
      <c r="T15" s="9">
        <f t="shared" si="3"/>
        <v>48.867924528301884</v>
      </c>
      <c r="U15" s="9">
        <f t="shared" si="2"/>
        <v>46.981132075471699</v>
      </c>
      <c r="V15" s="9">
        <f t="shared" si="2"/>
        <v>45.094339622641513</v>
      </c>
      <c r="X15" s="27" t="s">
        <v>93</v>
      </c>
      <c r="Y15" s="56">
        <f>150+AA15</f>
        <v>150</v>
      </c>
    </row>
    <row r="16" spans="1:28" x14ac:dyDescent="0.25">
      <c r="A16" s="27" t="s">
        <v>44</v>
      </c>
      <c r="B16" s="7">
        <f>'Water foot print'!Q14</f>
        <v>0.39908256880733944</v>
      </c>
      <c r="C16" s="7">
        <f>'Water foot print'!R14</f>
        <v>0.38990825688073394</v>
      </c>
      <c r="D16" s="7">
        <f>'Water foot print'!S14</f>
        <v>0.38440366972477064</v>
      </c>
      <c r="E16" s="28">
        <f t="shared" si="0"/>
        <v>1.1733944954128439</v>
      </c>
      <c r="F16" s="28">
        <f t="shared" si="1"/>
        <v>0.39113149847094797</v>
      </c>
      <c r="G16" s="40" t="s">
        <v>45</v>
      </c>
      <c r="H16" s="28">
        <f>((B7-1)*(B5*B6-1))</f>
        <v>34</v>
      </c>
      <c r="I16" s="28">
        <f>D31</f>
        <v>1.6874537855416705E-2</v>
      </c>
      <c r="J16" s="28">
        <f t="shared" si="4"/>
        <v>4.9630993692402069E-4</v>
      </c>
      <c r="O16" s="30">
        <v>4</v>
      </c>
      <c r="P16" s="33">
        <f t="shared" si="6"/>
        <v>0.34979279979279976</v>
      </c>
      <c r="Q16" s="31">
        <f t="shared" si="7"/>
        <v>8</v>
      </c>
      <c r="R16" s="37">
        <v>7</v>
      </c>
      <c r="S16" s="27" t="s">
        <v>42</v>
      </c>
      <c r="T16" s="9">
        <f t="shared" si="3"/>
        <v>36.21621621621621</v>
      </c>
      <c r="U16" s="9">
        <f t="shared" si="2"/>
        <v>35.585585585585576</v>
      </c>
      <c r="V16" s="9">
        <f t="shared" si="2"/>
        <v>35.045045045045036</v>
      </c>
      <c r="X16" s="27" t="s">
        <v>94</v>
      </c>
      <c r="Y16" s="56">
        <f>150+AA15+20</f>
        <v>170</v>
      </c>
    </row>
    <row r="17" spans="1:25" x14ac:dyDescent="0.25">
      <c r="A17" s="27" t="s">
        <v>46</v>
      </c>
      <c r="B17" s="7">
        <f>'Water foot print'!Q15</f>
        <v>0.34761904761904761</v>
      </c>
      <c r="C17" s="7">
        <f>'Water foot print'!R15</f>
        <v>0.34</v>
      </c>
      <c r="D17" s="7">
        <f>'Water foot print'!S15</f>
        <v>0.33142857142857141</v>
      </c>
      <c r="E17" s="28">
        <f t="shared" si="0"/>
        <v>1.019047619047619</v>
      </c>
      <c r="F17" s="28">
        <f t="shared" si="1"/>
        <v>0.33968253968253964</v>
      </c>
      <c r="G17" s="39" t="s">
        <v>20</v>
      </c>
      <c r="H17" s="28">
        <f>SUM(H11:H16)-H12</f>
        <v>53</v>
      </c>
      <c r="I17" s="28">
        <f>B30</f>
        <v>0.44995767549616428</v>
      </c>
      <c r="K17" s="28" t="s">
        <v>47</v>
      </c>
      <c r="L17" s="16">
        <f>TINV(0.05,34)</f>
        <v>2.0322445093177191</v>
      </c>
      <c r="O17" s="30">
        <v>5</v>
      </c>
      <c r="P17" s="33">
        <f t="shared" si="6"/>
        <v>0.4161745169082125</v>
      </c>
      <c r="Q17" s="31">
        <f t="shared" si="7"/>
        <v>4</v>
      </c>
      <c r="R17" s="35">
        <v>3</v>
      </c>
      <c r="S17" s="27" t="s">
        <v>44</v>
      </c>
      <c r="T17" s="9">
        <f t="shared" si="3"/>
        <v>39.908256880733944</v>
      </c>
      <c r="U17" s="9">
        <f t="shared" si="2"/>
        <v>38.990825688073393</v>
      </c>
      <c r="V17" s="9">
        <f t="shared" si="2"/>
        <v>38.440366972477065</v>
      </c>
      <c r="X17" s="27" t="s">
        <v>95</v>
      </c>
      <c r="Y17" s="56">
        <f>112.5+AA15</f>
        <v>112.5</v>
      </c>
    </row>
    <row r="18" spans="1:25" x14ac:dyDescent="0.25">
      <c r="A18" s="27" t="s">
        <v>48</v>
      </c>
      <c r="B18" s="7">
        <f>'Water foot print'!Q16</f>
        <v>0.24311926605504589</v>
      </c>
      <c r="C18" s="7">
        <f>'Water foot print'!R16</f>
        <v>0.14311926605504588</v>
      </c>
      <c r="D18" s="7">
        <f>'Water foot print'!S16</f>
        <v>0.20733944954128442</v>
      </c>
      <c r="E18" s="28">
        <f t="shared" si="0"/>
        <v>0.59357798165137621</v>
      </c>
      <c r="F18" s="28">
        <f t="shared" si="1"/>
        <v>0.1978593272171254</v>
      </c>
      <c r="G18" s="42" t="s">
        <v>33</v>
      </c>
      <c r="H18" s="28">
        <f>SQRT(J16/3)</f>
        <v>1.2862217757499685E-2</v>
      </c>
      <c r="O18" s="30">
        <v>6</v>
      </c>
      <c r="P18" s="33">
        <f t="shared" si="6"/>
        <v>0.52220724767894577</v>
      </c>
      <c r="Q18" s="31">
        <f t="shared" si="7"/>
        <v>1</v>
      </c>
      <c r="R18" s="37">
        <v>1</v>
      </c>
      <c r="S18" s="27" t="s">
        <v>46</v>
      </c>
      <c r="T18" s="9">
        <f t="shared" si="3"/>
        <v>34.761904761904759</v>
      </c>
      <c r="U18" s="9">
        <f t="shared" si="2"/>
        <v>34</v>
      </c>
      <c r="V18" s="9">
        <f t="shared" si="2"/>
        <v>33.142857142857139</v>
      </c>
      <c r="X18" s="27" t="s">
        <v>96</v>
      </c>
      <c r="Y18" s="56">
        <f>112.5+AA15+20</f>
        <v>132.5</v>
      </c>
    </row>
    <row r="19" spans="1:25" x14ac:dyDescent="0.25">
      <c r="A19" s="27" t="s">
        <v>49</v>
      </c>
      <c r="B19" s="7">
        <f>'Water foot print'!Q17</f>
        <v>0.3632075471698113</v>
      </c>
      <c r="C19" s="7">
        <f>'Water foot print'!R17</f>
        <v>0.34339622641509432</v>
      </c>
      <c r="D19" s="7">
        <f>'Water foot print'!S17</f>
        <v>0.35660377358490564</v>
      </c>
      <c r="E19" s="28">
        <f t="shared" si="0"/>
        <v>1.0632075471698113</v>
      </c>
      <c r="F19" s="28">
        <f t="shared" si="1"/>
        <v>0.35440251572327042</v>
      </c>
      <c r="G19" s="42" t="s">
        <v>37</v>
      </c>
      <c r="H19" s="28">
        <f>(SQRT((2*J16)/3))*L17</f>
        <v>3.6966370724751424E-2</v>
      </c>
      <c r="L19" s="16">
        <f>P9-P10</f>
        <v>-5.55450202278433E-2</v>
      </c>
      <c r="O19" s="30">
        <v>7</v>
      </c>
      <c r="P19" s="33">
        <f t="shared" si="6"/>
        <v>0.38188242590416499</v>
      </c>
      <c r="Q19" s="31">
        <f t="shared" si="7"/>
        <v>6</v>
      </c>
      <c r="R19" s="37">
        <v>6</v>
      </c>
      <c r="S19" s="27" t="s">
        <v>48</v>
      </c>
      <c r="T19" s="9">
        <f t="shared" si="3"/>
        <v>24.311926605504588</v>
      </c>
      <c r="U19" s="9">
        <f t="shared" si="2"/>
        <v>14.311926605504588</v>
      </c>
      <c r="V19" s="9">
        <f t="shared" si="2"/>
        <v>20.733944954128443</v>
      </c>
      <c r="X19" s="27" t="s">
        <v>97</v>
      </c>
      <c r="Y19" s="56">
        <f>AB15+20</f>
        <v>20</v>
      </c>
    </row>
    <row r="20" spans="1:25" x14ac:dyDescent="0.25">
      <c r="A20" s="27" t="s">
        <v>50</v>
      </c>
      <c r="B20" s="7">
        <f>'Water foot print'!Q18</f>
        <v>0.46862745098039216</v>
      </c>
      <c r="C20" s="7">
        <f>'Water foot print'!R18</f>
        <v>0.45882352941176469</v>
      </c>
      <c r="D20" s="7">
        <f>'Water foot print'!S18</f>
        <v>0.4392156862745098</v>
      </c>
      <c r="E20" s="28">
        <f t="shared" si="0"/>
        <v>1.3666666666666667</v>
      </c>
      <c r="F20" s="28">
        <f t="shared" si="1"/>
        <v>0.45555555555555555</v>
      </c>
      <c r="G20" s="42" t="s">
        <v>51</v>
      </c>
      <c r="H20" s="28">
        <f>((SQRT(J16))/F27)*100</f>
        <v>5.7913552400902866</v>
      </c>
      <c r="O20" s="30">
        <v>8</v>
      </c>
      <c r="P20" s="33">
        <f t="shared" si="6"/>
        <v>0.43401271893244364</v>
      </c>
      <c r="Q20" s="31">
        <f t="shared" si="7"/>
        <v>2</v>
      </c>
      <c r="R20" s="35">
        <v>4</v>
      </c>
      <c r="S20" s="27" t="s">
        <v>49</v>
      </c>
      <c r="T20" s="9">
        <f t="shared" si="3"/>
        <v>36.320754716981128</v>
      </c>
      <c r="U20" s="9">
        <f t="shared" si="2"/>
        <v>34.339622641509429</v>
      </c>
      <c r="V20" s="9">
        <f t="shared" si="2"/>
        <v>35.660377358490564</v>
      </c>
    </row>
    <row r="21" spans="1:25" x14ac:dyDescent="0.25">
      <c r="A21" s="27" t="s">
        <v>52</v>
      </c>
      <c r="B21" s="7">
        <f>'Water foot print'!Q19</f>
        <v>0.37171717171717167</v>
      </c>
      <c r="C21" s="7">
        <f>'Water foot print'!R19</f>
        <v>0.36262626262626263</v>
      </c>
      <c r="D21" s="7">
        <f>'Water foot print'!S19</f>
        <v>0.402020202020202</v>
      </c>
      <c r="E21" s="28">
        <f t="shared" si="0"/>
        <v>1.1363636363636362</v>
      </c>
      <c r="F21" s="28">
        <f t="shared" si="1"/>
        <v>0.37878787878787873</v>
      </c>
      <c r="O21" s="30">
        <v>9</v>
      </c>
      <c r="P21" s="33">
        <f t="shared" si="6"/>
        <v>0.38668931498435727</v>
      </c>
      <c r="Q21" s="31">
        <f t="shared" si="7"/>
        <v>5</v>
      </c>
      <c r="R21" s="37">
        <v>8</v>
      </c>
      <c r="S21" s="27" t="s">
        <v>50</v>
      </c>
      <c r="T21" s="9">
        <f t="shared" si="3"/>
        <v>46.862745098039213</v>
      </c>
      <c r="U21" s="9">
        <f t="shared" si="2"/>
        <v>45.882352941176471</v>
      </c>
      <c r="V21" s="9">
        <f t="shared" si="2"/>
        <v>43.921568627450981</v>
      </c>
    </row>
    <row r="22" spans="1:25" x14ac:dyDescent="0.25">
      <c r="A22" s="27" t="s">
        <v>53</v>
      </c>
      <c r="B22" s="7">
        <f>'Water foot print'!Q20</f>
        <v>0.38020833333333331</v>
      </c>
      <c r="C22" s="7">
        <f>'Water foot print'!R20</f>
        <v>0.47499999999999998</v>
      </c>
      <c r="D22" s="7">
        <f>'Water foot print'!S20</f>
        <v>0.44270833333333331</v>
      </c>
      <c r="E22" s="28">
        <f t="shared" si="0"/>
        <v>1.2979166666666666</v>
      </c>
      <c r="F22" s="28">
        <f t="shared" si="1"/>
        <v>0.43263888888888885</v>
      </c>
      <c r="O22" s="25" t="s">
        <v>33</v>
      </c>
      <c r="P22" s="33">
        <f>SQRT(J16/(3*2))</f>
        <v>9.094961397426056E-3</v>
      </c>
      <c r="Q22" s="31"/>
      <c r="S22" s="27" t="s">
        <v>52</v>
      </c>
      <c r="T22" s="9">
        <f t="shared" si="3"/>
        <v>37.171717171717169</v>
      </c>
      <c r="U22" s="9">
        <f t="shared" si="2"/>
        <v>36.262626262626263</v>
      </c>
      <c r="V22" s="9">
        <f t="shared" si="2"/>
        <v>40.202020202020201</v>
      </c>
    </row>
    <row r="23" spans="1:25" x14ac:dyDescent="0.25">
      <c r="A23" s="27" t="s">
        <v>55</v>
      </c>
      <c r="B23" s="7">
        <f>'Water foot print'!Q21</f>
        <v>0.55714285714285716</v>
      </c>
      <c r="C23" s="7">
        <f>'Water foot print'!R21</f>
        <v>0.60476190476190472</v>
      </c>
      <c r="D23" s="7">
        <f>'Water foot print'!S21</f>
        <v>0.56190476190476191</v>
      </c>
      <c r="E23" s="28">
        <f t="shared" si="0"/>
        <v>1.7238095238095237</v>
      </c>
      <c r="F23" s="28">
        <f t="shared" si="1"/>
        <v>0.57460317460317456</v>
      </c>
      <c r="G23" s="43"/>
      <c r="N23" s="25" t="s">
        <v>41</v>
      </c>
      <c r="O23" s="25" t="s">
        <v>37</v>
      </c>
      <c r="P23" s="33">
        <f>SQRT((2*J16)/(3*2))*L17</f>
        <v>2.6139171415327601E-2</v>
      </c>
      <c r="Q23" s="31"/>
      <c r="S23" s="27" t="s">
        <v>53</v>
      </c>
      <c r="T23" s="9">
        <f t="shared" si="3"/>
        <v>38.020833333333329</v>
      </c>
      <c r="U23" s="9">
        <f t="shared" si="2"/>
        <v>47.5</v>
      </c>
      <c r="V23" s="9">
        <f t="shared" si="2"/>
        <v>44.270833333333329</v>
      </c>
    </row>
    <row r="24" spans="1:25" x14ac:dyDescent="0.25">
      <c r="A24" s="27" t="s">
        <v>56</v>
      </c>
      <c r="B24" s="7">
        <f>'Water foot print'!Q22</f>
        <v>0.41195652173913044</v>
      </c>
      <c r="C24" s="7">
        <f>'Water foot print'!R22</f>
        <v>0.41086956521739126</v>
      </c>
      <c r="D24" s="7">
        <f>'Water foot print'!S22</f>
        <v>0.39999999999999997</v>
      </c>
      <c r="E24" s="28">
        <f t="shared" si="0"/>
        <v>1.2228260869565217</v>
      </c>
      <c r="F24" s="28">
        <f>E24/3</f>
        <v>0.40760869565217389</v>
      </c>
      <c r="G24" s="43"/>
      <c r="Q24" s="31"/>
      <c r="S24" s="27" t="s">
        <v>55</v>
      </c>
      <c r="T24" s="9">
        <f t="shared" si="3"/>
        <v>55.714285714285715</v>
      </c>
      <c r="U24" s="9">
        <f t="shared" si="2"/>
        <v>60.476190476190474</v>
      </c>
      <c r="V24" s="9">
        <f t="shared" si="2"/>
        <v>56.19047619047619</v>
      </c>
    </row>
    <row r="25" spans="1:25" x14ac:dyDescent="0.25">
      <c r="A25" s="27" t="s">
        <v>57</v>
      </c>
      <c r="B25" s="7">
        <f>'Water foot print'!Q23</f>
        <v>0.46477272727272728</v>
      </c>
      <c r="C25" s="7">
        <f>'Water foot print'!R23</f>
        <v>0.47499999999999998</v>
      </c>
      <c r="D25" s="7">
        <f>'Water foot print'!S23</f>
        <v>0.49090909090909091</v>
      </c>
      <c r="E25" s="28">
        <f t="shared" si="0"/>
        <v>1.4306818181818182</v>
      </c>
      <c r="F25" s="28">
        <f t="shared" si="1"/>
        <v>0.47689393939393937</v>
      </c>
      <c r="G25" s="43"/>
      <c r="S25" s="27" t="s">
        <v>56</v>
      </c>
      <c r="T25" s="9">
        <f t="shared" si="3"/>
        <v>41.195652173913047</v>
      </c>
      <c r="U25" s="9">
        <f t="shared" si="2"/>
        <v>41.086956521739125</v>
      </c>
      <c r="V25" s="9">
        <f t="shared" si="2"/>
        <v>40</v>
      </c>
    </row>
    <row r="26" spans="1:25" x14ac:dyDescent="0.25">
      <c r="A26" s="27" t="s">
        <v>58</v>
      </c>
      <c r="B26" s="7">
        <f>'Water foot print'!Q24</f>
        <v>0.42079806529625147</v>
      </c>
      <c r="C26" s="7">
        <f>'Water foot print'!R24</f>
        <v>0.45465538089480051</v>
      </c>
      <c r="D26" s="7">
        <f>'Water foot print'!S24</f>
        <v>0.42563482466747282</v>
      </c>
      <c r="E26" s="28">
        <f t="shared" si="0"/>
        <v>1.3010882708585247</v>
      </c>
      <c r="F26" s="28">
        <f t="shared" si="1"/>
        <v>0.4336960902861749</v>
      </c>
      <c r="G26" s="43"/>
      <c r="S26" s="27" t="s">
        <v>57</v>
      </c>
      <c r="T26" s="9">
        <f t="shared" si="3"/>
        <v>46.477272727272727</v>
      </c>
      <c r="U26" s="9">
        <f t="shared" si="3"/>
        <v>47.5</v>
      </c>
      <c r="V26" s="9">
        <f t="shared" si="3"/>
        <v>49.090909090909093</v>
      </c>
    </row>
    <row r="27" spans="1:25" x14ac:dyDescent="0.25">
      <c r="A27" s="25" t="s">
        <v>20</v>
      </c>
      <c r="B27" s="28">
        <f>SUM(B9:B26)</f>
        <v>6.9518383920692397</v>
      </c>
      <c r="C27" s="28">
        <f>SUM(C9:C26)</f>
        <v>6.9609480676416382</v>
      </c>
      <c r="D27" s="28">
        <f>SUM(D9:D26)</f>
        <v>6.8597743907864395</v>
      </c>
      <c r="E27" s="28">
        <f>SUM(E9:E26)</f>
        <v>20.772560850497324</v>
      </c>
      <c r="F27" s="28">
        <f>AVERAGE(B9:D26)</f>
        <v>0.38467705278698755</v>
      </c>
      <c r="G27" s="43"/>
      <c r="S27" s="27" t="s">
        <v>58</v>
      </c>
      <c r="T27" s="9">
        <f t="shared" si="3"/>
        <v>42.079806529625145</v>
      </c>
      <c r="U27" s="9">
        <f t="shared" si="3"/>
        <v>45.465538089480049</v>
      </c>
      <c r="V27" s="9">
        <f t="shared" si="3"/>
        <v>42.563482466747281</v>
      </c>
    </row>
    <row r="28" spans="1:25" x14ac:dyDescent="0.25">
      <c r="A28" s="25" t="s">
        <v>11</v>
      </c>
      <c r="B28" s="28">
        <f>B27/18</f>
        <v>0.38621324400384666</v>
      </c>
      <c r="C28" s="28">
        <f>C27/18</f>
        <v>0.3867193370912021</v>
      </c>
      <c r="D28" s="28">
        <f>D27/18</f>
        <v>0.38109857726591329</v>
      </c>
      <c r="G28" s="43"/>
    </row>
    <row r="29" spans="1:25" x14ac:dyDescent="0.25">
      <c r="A29" s="25" t="s">
        <v>59</v>
      </c>
      <c r="B29" s="28">
        <f>(E27*E27)/54</f>
        <v>7.9907274868076685</v>
      </c>
      <c r="C29" s="28"/>
      <c r="D29" s="28"/>
      <c r="G29" s="43"/>
    </row>
    <row r="30" spans="1:25" x14ac:dyDescent="0.25">
      <c r="A30" s="25" t="s">
        <v>60</v>
      </c>
      <c r="B30" s="28">
        <f>SUMSQ(B9:D26)-B29</f>
        <v>0.44995767549616428</v>
      </c>
      <c r="C30" s="25" t="s">
        <v>61</v>
      </c>
      <c r="D30" s="28">
        <f>(SUMSQ(B27:D27)/18)-B29</f>
        <v>3.4805332239606912E-4</v>
      </c>
      <c r="G30" s="43"/>
    </row>
    <row r="31" spans="1:25" x14ac:dyDescent="0.25">
      <c r="A31" s="25" t="s">
        <v>62</v>
      </c>
      <c r="B31" s="28">
        <f>(SUMSQ(E9:E26)/3)-B29</f>
        <v>0.4327350843183515</v>
      </c>
      <c r="C31" s="25" t="s">
        <v>63</v>
      </c>
      <c r="D31" s="28">
        <f>B30-B31-D30</f>
        <v>1.6874537855416705E-2</v>
      </c>
      <c r="G31" s="43"/>
    </row>
    <row r="34" spans="1:18" ht="18.75" x14ac:dyDescent="0.3">
      <c r="C34" s="58" t="s">
        <v>99</v>
      </c>
    </row>
    <row r="35" spans="1:18" ht="18.75" x14ac:dyDescent="0.3">
      <c r="C35" s="59" t="s">
        <v>100</v>
      </c>
    </row>
    <row r="37" spans="1:18" x14ac:dyDescent="0.25">
      <c r="A37" s="19" t="s">
        <v>13</v>
      </c>
      <c r="B37" s="20">
        <v>2</v>
      </c>
      <c r="C37" s="21"/>
      <c r="D37" s="21"/>
      <c r="E37" s="21"/>
      <c r="F37" s="21"/>
      <c r="G37" s="21"/>
      <c r="H37" s="21"/>
      <c r="I37" s="21"/>
      <c r="M37" s="22"/>
      <c r="N37" s="22"/>
      <c r="O37" s="21"/>
      <c r="P37" s="21"/>
    </row>
    <row r="38" spans="1:18" x14ac:dyDescent="0.25">
      <c r="A38" s="19" t="s">
        <v>14</v>
      </c>
      <c r="B38" s="20">
        <v>9</v>
      </c>
      <c r="C38" s="21" t="s">
        <v>15</v>
      </c>
      <c r="D38" s="21">
        <v>18</v>
      </c>
      <c r="E38" s="21"/>
      <c r="F38" s="21"/>
      <c r="G38" s="21"/>
      <c r="H38" s="21"/>
      <c r="I38" s="21"/>
      <c r="M38" s="22"/>
      <c r="N38" s="22"/>
      <c r="O38" s="21"/>
      <c r="P38" s="21"/>
    </row>
    <row r="39" spans="1:18" x14ac:dyDescent="0.25">
      <c r="A39" s="15" t="s">
        <v>16</v>
      </c>
      <c r="B39" s="23">
        <v>3</v>
      </c>
    </row>
    <row r="40" spans="1:18" s="16" customFormat="1" x14ac:dyDescent="0.25">
      <c r="A40" s="24" t="s">
        <v>0</v>
      </c>
      <c r="B40" s="25" t="s">
        <v>17</v>
      </c>
      <c r="C40" s="25" t="s">
        <v>18</v>
      </c>
      <c r="D40" s="25" t="s">
        <v>19</v>
      </c>
      <c r="E40" s="25" t="s">
        <v>20</v>
      </c>
      <c r="F40" s="25" t="s">
        <v>11</v>
      </c>
      <c r="O40" s="16" t="s">
        <v>21</v>
      </c>
      <c r="Q40" s="15"/>
    </row>
    <row r="41" spans="1:18" s="16" customFormat="1" x14ac:dyDescent="0.25">
      <c r="A41" s="27" t="s">
        <v>22</v>
      </c>
      <c r="B41" s="8">
        <f>'Water foot print'!AL47</f>
        <v>2747.9255471698111</v>
      </c>
      <c r="C41" s="8">
        <f>'Water foot print'!AM47</f>
        <v>3074.5801610169492</v>
      </c>
      <c r="D41" s="8">
        <f>'Water foot print'!AN47</f>
        <v>3738.0254545454554</v>
      </c>
      <c r="E41" s="28">
        <f>SUM(B41:D41)</f>
        <v>9560.5311627322153</v>
      </c>
      <c r="F41" s="28">
        <f>E41/3</f>
        <v>3186.8437209107383</v>
      </c>
      <c r="H41" s="29"/>
      <c r="I41" s="29"/>
      <c r="J41" s="29" t="s">
        <v>23</v>
      </c>
      <c r="K41" s="29"/>
      <c r="L41" s="29"/>
      <c r="M41" s="29"/>
      <c r="N41" s="29"/>
      <c r="O41" s="30">
        <v>1</v>
      </c>
      <c r="P41" s="28">
        <f>SUM(F41:F49)/9</f>
        <v>1622.2100276159799</v>
      </c>
      <c r="Q41" s="31">
        <f>RANK(P41,P$41:P$42,0)</f>
        <v>1</v>
      </c>
    </row>
    <row r="42" spans="1:18" s="16" customFormat="1" x14ac:dyDescent="0.25">
      <c r="A42" s="27" t="s">
        <v>24</v>
      </c>
      <c r="B42" s="8">
        <f>'Water foot print'!AL48</f>
        <v>1677.4883419689113</v>
      </c>
      <c r="C42" s="8">
        <f>'Water foot print'!AM48</f>
        <v>1636.4138657953001</v>
      </c>
      <c r="D42" s="8">
        <f>'Water foot print'!AN48</f>
        <v>1827.1157900552485</v>
      </c>
      <c r="E42" s="28">
        <f t="shared" ref="E42:E58" si="8">SUM(B42:D42)</f>
        <v>5141.0179978194592</v>
      </c>
      <c r="F42" s="28">
        <f t="shared" ref="F42:F55" si="9">E42/3</f>
        <v>1713.6726659398198</v>
      </c>
      <c r="G42" s="28"/>
      <c r="H42" s="25" t="s">
        <v>25</v>
      </c>
      <c r="I42" s="25" t="s">
        <v>26</v>
      </c>
      <c r="J42" s="25" t="s">
        <v>27</v>
      </c>
      <c r="K42" s="25" t="s">
        <v>28</v>
      </c>
      <c r="L42" s="25" t="s">
        <v>29</v>
      </c>
      <c r="M42" s="25" t="s">
        <v>30</v>
      </c>
      <c r="N42" s="32"/>
      <c r="O42" s="30">
        <v>2</v>
      </c>
      <c r="P42" s="28">
        <f>SUM(F50:F58)/9</f>
        <v>1271.0263413096445</v>
      </c>
      <c r="Q42" s="31">
        <f>RANK(P42,P$41:P$42,0)</f>
        <v>2</v>
      </c>
    </row>
    <row r="43" spans="1:18" s="16" customFormat="1" x14ac:dyDescent="0.25">
      <c r="A43" s="27" t="s">
        <v>31</v>
      </c>
      <c r="B43" s="8">
        <f>'Water foot print'!AL49</f>
        <v>1591.4092776349614</v>
      </c>
      <c r="C43" s="8">
        <f>'Water foot print'!AM49</f>
        <v>1393.7202369668241</v>
      </c>
      <c r="D43" s="8">
        <f>'Water foot print'!AN49</f>
        <v>1319.1954975930837</v>
      </c>
      <c r="E43" s="28">
        <f t="shared" si="8"/>
        <v>4304.3250121948695</v>
      </c>
      <c r="F43" s="28">
        <f t="shared" si="9"/>
        <v>1434.7750040649564</v>
      </c>
      <c r="G43" s="28" t="s">
        <v>32</v>
      </c>
      <c r="H43" s="28">
        <f>B39-1</f>
        <v>2</v>
      </c>
      <c r="I43" s="28">
        <f>D62</f>
        <v>162465.89572103322</v>
      </c>
      <c r="J43" s="28">
        <f>I43/H43</f>
        <v>81232.947860516608</v>
      </c>
      <c r="K43" s="28">
        <f>J43/$J$16</f>
        <v>163673829.22851378</v>
      </c>
      <c r="L43" s="28">
        <f>FINV(0.05,H43,$H$16)</f>
        <v>3.275897990672394</v>
      </c>
      <c r="M43" s="28" t="str">
        <f>IF(K43&gt;=L43, "S", "NS")</f>
        <v>S</v>
      </c>
      <c r="N43" s="21"/>
      <c r="O43" s="25" t="s">
        <v>33</v>
      </c>
      <c r="P43" s="33">
        <f>SQRT(J48/(3*9))</f>
        <v>66.705172221157113</v>
      </c>
      <c r="Q43" s="15"/>
    </row>
    <row r="44" spans="1:18" s="16" customFormat="1" x14ac:dyDescent="0.25">
      <c r="A44" s="27" t="s">
        <v>34</v>
      </c>
      <c r="B44" s="8">
        <f>'Water foot print'!AL50</f>
        <v>1456.4136315732076</v>
      </c>
      <c r="C44" s="8">
        <f>'Water foot print'!AM50</f>
        <v>1497.8025348191427</v>
      </c>
      <c r="D44" s="8">
        <f>'Water foot print'!AN50</f>
        <v>1512.8188491200324</v>
      </c>
      <c r="E44" s="28">
        <f t="shared" si="8"/>
        <v>4467.0350155123824</v>
      </c>
      <c r="F44" s="28">
        <f t="shared" si="9"/>
        <v>1489.0116718374609</v>
      </c>
      <c r="G44" s="28" t="s">
        <v>35</v>
      </c>
      <c r="H44" s="28">
        <f>D38-1</f>
        <v>17</v>
      </c>
      <c r="I44" s="28">
        <f>B63</f>
        <v>27233825.385653391</v>
      </c>
      <c r="J44" s="28">
        <f t="shared" ref="J44:J48" si="10">I44/H44</f>
        <v>1601989.7285678466</v>
      </c>
      <c r="K44" s="28">
        <f>J44/$J$16</f>
        <v>3227801035.9746084</v>
      </c>
      <c r="L44" s="28">
        <f>FINV(0.05,H44,$H$16)</f>
        <v>1.9332068318040869</v>
      </c>
      <c r="M44" s="34" t="str">
        <f t="shared" ref="M44" si="11">IF(K44&gt;=L44, "S", "NS")</f>
        <v>S</v>
      </c>
      <c r="N44" s="25" t="s">
        <v>36</v>
      </c>
      <c r="O44" s="25" t="s">
        <v>37</v>
      </c>
      <c r="P44" s="33">
        <f>SQRT((2*J48)/(3*9))*L49</f>
        <v>191.71251584104934</v>
      </c>
      <c r="Q44" s="15"/>
    </row>
    <row r="45" spans="1:18" s="16" customFormat="1" x14ac:dyDescent="0.25">
      <c r="A45" s="27" t="s">
        <v>38</v>
      </c>
      <c r="B45" s="8">
        <f>'Water foot print'!AL51</f>
        <v>1605.758191780822</v>
      </c>
      <c r="C45" s="8">
        <f>'Water foot print'!AM51</f>
        <v>1670.7616470588234</v>
      </c>
      <c r="D45" s="8">
        <f>'Water foot print'!AN51</f>
        <v>1712.9532870147098</v>
      </c>
      <c r="E45" s="28">
        <f t="shared" si="8"/>
        <v>4989.4731258543552</v>
      </c>
      <c r="F45" s="28">
        <f t="shared" si="9"/>
        <v>1663.1577086181185</v>
      </c>
      <c r="G45" s="28" t="s">
        <v>39</v>
      </c>
      <c r="H45" s="28">
        <f>B37-1</f>
        <v>1</v>
      </c>
      <c r="I45" s="28">
        <f>(SUM(E41:E49)^2+SUM(E50:E58)^2)/27-B61</f>
        <v>1664954.7506240457</v>
      </c>
      <c r="J45" s="28">
        <f t="shared" si="10"/>
        <v>1664954.7506240457</v>
      </c>
      <c r="K45" s="28">
        <f>J45/$J$16</f>
        <v>3354667369.6338487</v>
      </c>
      <c r="L45" s="28">
        <f>FINV(0.05,H45,$H$16)</f>
        <v>4.1300177456520188</v>
      </c>
      <c r="M45" s="28" t="str">
        <f>IF(K45&gt;=L45, "S", "NS")</f>
        <v>S</v>
      </c>
      <c r="N45" s="21"/>
      <c r="O45" s="30">
        <v>1</v>
      </c>
      <c r="P45" s="28">
        <f>(F41+F50)/2</f>
        <v>3303.3165208639484</v>
      </c>
      <c r="Q45" s="31">
        <f>RANK(P45,P$45:P$53,0)</f>
        <v>1</v>
      </c>
      <c r="R45" s="35">
        <v>9</v>
      </c>
    </row>
    <row r="46" spans="1:18" s="16" customFormat="1" x14ac:dyDescent="0.25">
      <c r="A46" s="27" t="s">
        <v>40</v>
      </c>
      <c r="B46" s="8">
        <f>'Water foot print'!AL52</f>
        <v>1345.3057011494252</v>
      </c>
      <c r="C46" s="8">
        <f>'Water foot print'!AM52</f>
        <v>1396.34763438914</v>
      </c>
      <c r="D46" s="8">
        <f>'Water foot print'!AN52</f>
        <v>1435.3909140811459</v>
      </c>
      <c r="E46" s="28">
        <f t="shared" si="8"/>
        <v>4177.0442496197111</v>
      </c>
      <c r="F46" s="28">
        <f t="shared" si="9"/>
        <v>1392.3480832065704</v>
      </c>
      <c r="G46" s="28" t="s">
        <v>41</v>
      </c>
      <c r="H46" s="28">
        <f>B38-1</f>
        <v>8</v>
      </c>
      <c r="I46" s="28">
        <f>((E41+E50)^2+(E42+E51)^2+(E43+E52)^2+(E44+E53)^2+(E45+E54)^2+(E46+E55)^2+(E47+E56)^2+(E48+E57)^2+(E49+E58)^2/6)-B61</f>
        <v>687057633.5501498</v>
      </c>
      <c r="J46" s="28">
        <f t="shared" si="10"/>
        <v>85882204.193768725</v>
      </c>
      <c r="K46" s="28">
        <f>J46/$J$16</f>
        <v>173041476312.24295</v>
      </c>
      <c r="L46" s="28">
        <f>FINV(0.05,H46,$H$16)</f>
        <v>2.2253399674380931</v>
      </c>
      <c r="M46" s="28" t="str">
        <f>IF(K46&gt;=L46, "S", "NS")</f>
        <v>S</v>
      </c>
      <c r="N46" s="21"/>
      <c r="O46" s="30">
        <v>2</v>
      </c>
      <c r="P46" s="28">
        <f t="shared" ref="P46:P53" si="12">(F42+F51)/2</f>
        <v>1423.5600906383643</v>
      </c>
      <c r="Q46" s="31">
        <f t="shared" ref="Q46:Q53" si="13">RANK(P46,P$45:P$53,0)</f>
        <v>2</v>
      </c>
      <c r="R46" s="37">
        <v>5</v>
      </c>
    </row>
    <row r="47" spans="1:18" s="16" customFormat="1" x14ac:dyDescent="0.25">
      <c r="A47" s="27" t="s">
        <v>42</v>
      </c>
      <c r="B47" s="8">
        <f>'Water foot print'!AL53</f>
        <v>1160.3781821591103</v>
      </c>
      <c r="C47" s="8">
        <f>'Water foot print'!AM53</f>
        <v>1263.5486990950224</v>
      </c>
      <c r="D47" s="8">
        <f>'Water foot print'!AN53</f>
        <v>1358.8283196908837</v>
      </c>
      <c r="E47" s="28">
        <f t="shared" si="8"/>
        <v>3782.7552009450164</v>
      </c>
      <c r="F47" s="28">
        <f t="shared" si="9"/>
        <v>1260.9184003150056</v>
      </c>
      <c r="G47" s="38" t="s">
        <v>43</v>
      </c>
      <c r="H47" s="28">
        <f>H45*H46</f>
        <v>8</v>
      </c>
      <c r="I47" s="28">
        <f>I44-(I45+I46)</f>
        <v>-661488762.91512048</v>
      </c>
      <c r="J47" s="28">
        <f t="shared" si="10"/>
        <v>-82686095.36439006</v>
      </c>
      <c r="K47" s="39">
        <f>J47/$J$16</f>
        <v>-166601732532.00116</v>
      </c>
      <c r="L47" s="28">
        <f>FINV(0.05,H47,$H$16)</f>
        <v>2.2253399674380931</v>
      </c>
      <c r="M47" s="28" t="str">
        <f t="shared" ref="M47" si="14">IF(K47&gt;=L47, "S", "NS")</f>
        <v>NS</v>
      </c>
      <c r="N47" s="21"/>
      <c r="O47" s="30">
        <v>3</v>
      </c>
      <c r="P47" s="28">
        <f t="shared" si="12"/>
        <v>1404.6900932005692</v>
      </c>
      <c r="Q47" s="31">
        <f t="shared" si="13"/>
        <v>3</v>
      </c>
      <c r="R47" s="37">
        <v>2</v>
      </c>
    </row>
    <row r="48" spans="1:18" s="16" customFormat="1" x14ac:dyDescent="0.25">
      <c r="A48" s="27" t="s">
        <v>44</v>
      </c>
      <c r="B48" s="8">
        <f>'Water foot print'!AL54</f>
        <v>1282.3978824332676</v>
      </c>
      <c r="C48" s="8">
        <f>'Water foot print'!AM54</f>
        <v>1313.8757055968335</v>
      </c>
      <c r="D48" s="8">
        <f>'Water foot print'!AN54</f>
        <v>1364.8814502855221</v>
      </c>
      <c r="E48" s="28">
        <f t="shared" si="8"/>
        <v>3961.1550383156232</v>
      </c>
      <c r="F48" s="28">
        <f t="shared" si="9"/>
        <v>1320.3850127718745</v>
      </c>
      <c r="G48" s="40" t="s">
        <v>45</v>
      </c>
      <c r="H48" s="28">
        <f>((B39-1)*(B37*B38-1))</f>
        <v>34</v>
      </c>
      <c r="I48" s="28">
        <f>D63</f>
        <v>4084714.4409677833</v>
      </c>
      <c r="J48" s="28">
        <f t="shared" si="10"/>
        <v>120138.66002846422</v>
      </c>
      <c r="O48" s="30">
        <v>4</v>
      </c>
      <c r="P48" s="28">
        <f t="shared" si="12"/>
        <v>1281.1300859080902</v>
      </c>
      <c r="Q48" s="31">
        <f t="shared" si="13"/>
        <v>4</v>
      </c>
      <c r="R48" s="37">
        <v>7</v>
      </c>
    </row>
    <row r="49" spans="1:18" x14ac:dyDescent="0.25">
      <c r="A49" s="27" t="s">
        <v>46</v>
      </c>
      <c r="B49" s="8">
        <f>'Water foot print'!AL55</f>
        <v>1044.672424969348</v>
      </c>
      <c r="C49" s="8">
        <f>'Water foot print'!AM55</f>
        <v>1168.6533767292067</v>
      </c>
      <c r="D49" s="8">
        <f>'Water foot print'!AN55</f>
        <v>1203.0081409392683</v>
      </c>
      <c r="E49" s="28">
        <f t="shared" si="8"/>
        <v>3416.3339426378229</v>
      </c>
      <c r="F49" s="28">
        <f t="shared" si="9"/>
        <v>1138.7779808792743</v>
      </c>
      <c r="G49" s="39" t="s">
        <v>20</v>
      </c>
      <c r="H49" s="28">
        <f>SUM(H43:H48)-H44</f>
        <v>53</v>
      </c>
      <c r="I49" s="28">
        <f>B62</f>
        <v>31481005.722342208</v>
      </c>
      <c r="K49" s="28" t="s">
        <v>47</v>
      </c>
      <c r="L49" s="16">
        <f>TINV(0.05,34)</f>
        <v>2.0322445093177191</v>
      </c>
      <c r="O49" s="30">
        <v>5</v>
      </c>
      <c r="P49" s="28">
        <f t="shared" si="12"/>
        <v>1279.2229925199251</v>
      </c>
      <c r="Q49" s="31">
        <f t="shared" si="13"/>
        <v>5</v>
      </c>
      <c r="R49" s="35">
        <v>3</v>
      </c>
    </row>
    <row r="50" spans="1:18" x14ac:dyDescent="0.25">
      <c r="A50" s="27" t="s">
        <v>48</v>
      </c>
      <c r="B50" s="8">
        <f>'Water foot print'!AL56</f>
        <v>2376.701320754717</v>
      </c>
      <c r="C50" s="8">
        <f>'Water foot print'!AM56</f>
        <v>4893.7771284224245</v>
      </c>
      <c r="D50" s="8">
        <f>'Water foot print'!AN56</f>
        <v>2988.889513274336</v>
      </c>
      <c r="E50" s="28">
        <f t="shared" si="8"/>
        <v>10259.367962451477</v>
      </c>
      <c r="F50" s="28">
        <f t="shared" si="9"/>
        <v>3419.789320817159</v>
      </c>
      <c r="G50" s="42" t="s">
        <v>33</v>
      </c>
      <c r="H50" s="28">
        <f>SQRT(J48/3)</f>
        <v>200.11551666347134</v>
      </c>
      <c r="O50" s="30">
        <v>6</v>
      </c>
      <c r="P50" s="28">
        <f t="shared" si="12"/>
        <v>1118.461695673336</v>
      </c>
      <c r="Q50" s="31">
        <f t="shared" si="13"/>
        <v>8</v>
      </c>
      <c r="R50" s="37">
        <v>1</v>
      </c>
    </row>
    <row r="51" spans="1:18" x14ac:dyDescent="0.25">
      <c r="A51" s="27" t="s">
        <v>49</v>
      </c>
      <c r="B51" s="8">
        <f>'Water foot print'!AL57</f>
        <v>1204.9694672223475</v>
      </c>
      <c r="C51" s="8">
        <f>'Water foot print'!AM57</f>
        <v>1242.3726820533227</v>
      </c>
      <c r="D51" s="8">
        <f>'Water foot print'!AN57</f>
        <v>953.00039673505671</v>
      </c>
      <c r="E51" s="28">
        <f t="shared" si="8"/>
        <v>3400.3425460107269</v>
      </c>
      <c r="F51" s="28">
        <f t="shared" si="9"/>
        <v>1133.447515336909</v>
      </c>
      <c r="G51" s="42" t="s">
        <v>37</v>
      </c>
      <c r="H51" s="28">
        <f>(SQRT((2*J48)/3))*L49</f>
        <v>575.13754752314799</v>
      </c>
      <c r="O51" s="30">
        <v>7</v>
      </c>
      <c r="P51" s="28">
        <f t="shared" si="12"/>
        <v>1166.3569687807283</v>
      </c>
      <c r="Q51" s="31">
        <f t="shared" si="13"/>
        <v>6</v>
      </c>
      <c r="R51" s="37">
        <v>6</v>
      </c>
    </row>
    <row r="52" spans="1:18" x14ac:dyDescent="0.25">
      <c r="A52" s="27" t="s">
        <v>50</v>
      </c>
      <c r="B52" s="8">
        <f>'Water foot print'!AL58</f>
        <v>1334.6605714285711</v>
      </c>
      <c r="C52" s="8">
        <f>'Water foot print'!AM58</f>
        <v>1422.853912087912</v>
      </c>
      <c r="D52" s="8">
        <f>'Water foot print'!AN58</f>
        <v>1366.3010634920636</v>
      </c>
      <c r="E52" s="28">
        <f t="shared" si="8"/>
        <v>4123.8155470085467</v>
      </c>
      <c r="F52" s="28">
        <f t="shared" si="9"/>
        <v>1374.6051823361822</v>
      </c>
      <c r="G52" s="42" t="s">
        <v>51</v>
      </c>
      <c r="H52" s="28">
        <f>((SQRT(J48))/F59)*100</f>
        <v>23.960036308595086</v>
      </c>
      <c r="O52" s="30">
        <v>8</v>
      </c>
      <c r="P52" s="28">
        <f t="shared" si="12"/>
        <v>1133.8704502007197</v>
      </c>
      <c r="Q52" s="31">
        <f t="shared" si="13"/>
        <v>7</v>
      </c>
      <c r="R52" s="35">
        <v>4</v>
      </c>
    </row>
    <row r="53" spans="1:18" x14ac:dyDescent="0.25">
      <c r="A53" s="27" t="s">
        <v>52</v>
      </c>
      <c r="B53" s="8">
        <f>'Water foot print'!AL59</f>
        <v>1057.0892928759895</v>
      </c>
      <c r="C53" s="8">
        <f>'Water foot print'!AM59</f>
        <v>1054.693207060169</v>
      </c>
      <c r="D53" s="8">
        <f>'Water foot print'!AN59</f>
        <v>1107.963</v>
      </c>
      <c r="E53" s="28">
        <f t="shared" si="8"/>
        <v>3219.745499936158</v>
      </c>
      <c r="F53" s="28">
        <f t="shared" si="9"/>
        <v>1073.2484999787193</v>
      </c>
      <c r="O53" s="30">
        <v>9</v>
      </c>
      <c r="P53" s="28">
        <f t="shared" si="12"/>
        <v>908.95476237962748</v>
      </c>
      <c r="Q53" s="31">
        <f t="shared" si="13"/>
        <v>9</v>
      </c>
      <c r="R53" s="37">
        <v>8</v>
      </c>
    </row>
    <row r="54" spans="1:18" x14ac:dyDescent="0.25">
      <c r="A54" s="27" t="s">
        <v>53</v>
      </c>
      <c r="B54" s="8">
        <f>'Water foot print'!AL60</f>
        <v>971.09393103448315</v>
      </c>
      <c r="C54" s="8">
        <f>'Water foot print'!AM60</f>
        <v>808.71638297872312</v>
      </c>
      <c r="D54" s="8">
        <f>'Water foot print'!AN60</f>
        <v>906.05451525198907</v>
      </c>
      <c r="E54" s="28">
        <f t="shared" si="8"/>
        <v>2685.8648292651951</v>
      </c>
      <c r="F54" s="28">
        <f t="shared" si="9"/>
        <v>895.28827642173167</v>
      </c>
      <c r="O54" s="25" t="s">
        <v>33</v>
      </c>
      <c r="P54" s="33">
        <f>SQRT(J48/(3*2))</f>
        <v>141.50303885339014</v>
      </c>
      <c r="Q54" s="31"/>
    </row>
    <row r="55" spans="1:18" x14ac:dyDescent="0.25">
      <c r="A55" s="27" t="s">
        <v>55</v>
      </c>
      <c r="B55" s="8">
        <f>'Water foot print'!AL61</f>
        <v>892.20805378973103</v>
      </c>
      <c r="C55" s="8">
        <f>'Water foot print'!AM61</f>
        <v>848.67331507501808</v>
      </c>
      <c r="D55" s="8">
        <f>'Water foot print'!AN61</f>
        <v>792.84455555555542</v>
      </c>
      <c r="E55" s="28">
        <f t="shared" si="8"/>
        <v>2533.7259244203046</v>
      </c>
      <c r="F55" s="28">
        <f t="shared" si="9"/>
        <v>844.57530814010158</v>
      </c>
      <c r="G55" s="43"/>
      <c r="N55" s="25" t="s">
        <v>41</v>
      </c>
      <c r="O55" s="25" t="s">
        <v>37</v>
      </c>
      <c r="P55" s="33">
        <f>SQRT((2*J48)/(3*2))*L49</f>
        <v>406.68365996861814</v>
      </c>
      <c r="Q55" s="31"/>
    </row>
    <row r="56" spans="1:18" x14ac:dyDescent="0.25">
      <c r="A56" s="27" t="s">
        <v>56</v>
      </c>
      <c r="B56" s="8">
        <f>'Water foot print'!AL62</f>
        <v>1317.0047671232878</v>
      </c>
      <c r="C56" s="8">
        <f>'Water foot print'!AM62</f>
        <v>901.36142108665297</v>
      </c>
      <c r="D56" s="8">
        <f>'Water foot print'!AN62</f>
        <v>997.02042352941191</v>
      </c>
      <c r="E56" s="28">
        <f t="shared" si="8"/>
        <v>3215.3866117393527</v>
      </c>
      <c r="F56" s="28">
        <f>E56/3</f>
        <v>1071.795537246451</v>
      </c>
      <c r="G56" s="43"/>
      <c r="Q56" s="31"/>
    </row>
    <row r="57" spans="1:18" x14ac:dyDescent="0.25">
      <c r="A57" s="27" t="s">
        <v>57</v>
      </c>
      <c r="B57" s="8">
        <f>'Water foot print'!AL63</f>
        <v>915.33859000186794</v>
      </c>
      <c r="C57" s="8">
        <f>'Water foot print'!AM63</f>
        <v>937.02211489939862</v>
      </c>
      <c r="D57" s="8">
        <f>'Water foot print'!AN63</f>
        <v>989.7069579874277</v>
      </c>
      <c r="E57" s="28">
        <f t="shared" si="8"/>
        <v>2842.0676628886945</v>
      </c>
      <c r="F57" s="28">
        <f t="shared" ref="F57:F58" si="15">E57/3</f>
        <v>947.35588762956479</v>
      </c>
      <c r="G57" s="43"/>
    </row>
    <row r="58" spans="1:18" x14ac:dyDescent="0.25">
      <c r="A58" s="27" t="s">
        <v>58</v>
      </c>
      <c r="B58" s="8">
        <f>'Water foot print'!AL64</f>
        <v>755.5746866646864</v>
      </c>
      <c r="C58" s="8">
        <f>'Water foot print'!AM64</f>
        <v>600.46498602526378</v>
      </c>
      <c r="D58" s="8">
        <f>'Water foot print'!AN64</f>
        <v>681.35495894999224</v>
      </c>
      <c r="E58" s="28">
        <f t="shared" si="8"/>
        <v>2037.3946316399424</v>
      </c>
      <c r="F58" s="28">
        <f t="shared" si="15"/>
        <v>679.13154387998077</v>
      </c>
      <c r="G58" s="43"/>
    </row>
    <row r="59" spans="1:18" x14ac:dyDescent="0.25">
      <c r="A59" s="25" t="s">
        <v>20</v>
      </c>
      <c r="B59" s="28">
        <f>SUM(B41:B58)</f>
        <v>24736.389861734555</v>
      </c>
      <c r="C59" s="28">
        <f t="shared" ref="C59:D59" si="16">SUM(C41:C58)</f>
        <v>27125.63901115613</v>
      </c>
      <c r="D59" s="28">
        <f t="shared" si="16"/>
        <v>26255.353088101179</v>
      </c>
      <c r="E59" s="28">
        <f>SUM(E41:E58)</f>
        <v>78117.381960991843</v>
      </c>
      <c r="F59" s="28">
        <f>AVERAGE(B41:D58)</f>
        <v>1446.6181844628113</v>
      </c>
      <c r="G59" s="43"/>
    </row>
    <row r="60" spans="1:18" x14ac:dyDescent="0.25">
      <c r="A60" s="25" t="s">
        <v>11</v>
      </c>
      <c r="B60" s="28">
        <f>B59/18</f>
        <v>1374.2438812074752</v>
      </c>
      <c r="C60" s="28">
        <f>C59/18</f>
        <v>1506.9799450642295</v>
      </c>
      <c r="D60" s="28">
        <f>D59/18</f>
        <v>1458.6307271167323</v>
      </c>
      <c r="G60" s="43"/>
    </row>
    <row r="61" spans="1:18" x14ac:dyDescent="0.25">
      <c r="A61" s="25" t="s">
        <v>59</v>
      </c>
      <c r="B61" s="28">
        <f>(E59*E59)/54</f>
        <v>113006025.26739804</v>
      </c>
      <c r="C61" s="28"/>
      <c r="D61" s="28"/>
      <c r="G61" s="43"/>
    </row>
    <row r="62" spans="1:18" x14ac:dyDescent="0.25">
      <c r="A62" s="25" t="s">
        <v>60</v>
      </c>
      <c r="B62" s="28">
        <f>SUMSQ(B41:D58)-B61</f>
        <v>31481005.722342208</v>
      </c>
      <c r="C62" s="25" t="s">
        <v>61</v>
      </c>
      <c r="D62" s="28">
        <f>(SUMSQ(B59:D59)/18)-B61</f>
        <v>162465.89572103322</v>
      </c>
      <c r="G62" s="43"/>
    </row>
    <row r="63" spans="1:18" x14ac:dyDescent="0.25">
      <c r="A63" s="25" t="s">
        <v>62</v>
      </c>
      <c r="B63" s="28">
        <f>(SUMSQ(E41:E58)/3)-B61</f>
        <v>27233825.385653391</v>
      </c>
      <c r="C63" s="25" t="s">
        <v>63</v>
      </c>
      <c r="D63" s="28">
        <f>B62-B63-D62</f>
        <v>4084714.4409677833</v>
      </c>
      <c r="G63" s="43"/>
    </row>
    <row r="67" spans="1:19" ht="15.75" x14ac:dyDescent="0.25">
      <c r="C67" s="50" t="s">
        <v>101</v>
      </c>
    </row>
    <row r="69" spans="1:19" x14ac:dyDescent="0.25">
      <c r="A69" s="19" t="s">
        <v>13</v>
      </c>
      <c r="B69" s="20">
        <v>2</v>
      </c>
      <c r="C69" s="21"/>
      <c r="D69" s="21"/>
      <c r="E69" s="21"/>
      <c r="F69" s="21"/>
      <c r="G69" s="21"/>
      <c r="H69" s="21"/>
      <c r="L69" s="21"/>
      <c r="M69" s="22"/>
      <c r="N69" s="22"/>
      <c r="O69" s="21"/>
      <c r="P69" s="21"/>
    </row>
    <row r="70" spans="1:19" x14ac:dyDescent="0.25">
      <c r="A70" s="19" t="s">
        <v>14</v>
      </c>
      <c r="B70" s="20">
        <v>9</v>
      </c>
      <c r="C70" s="21" t="s">
        <v>15</v>
      </c>
      <c r="D70" s="21">
        <v>18</v>
      </c>
      <c r="E70" s="21"/>
      <c r="F70" s="21"/>
      <c r="G70" s="21"/>
      <c r="H70" s="21"/>
      <c r="L70" s="21"/>
      <c r="M70" s="22"/>
      <c r="N70" s="22"/>
      <c r="O70" s="21"/>
      <c r="P70" s="21"/>
    </row>
    <row r="71" spans="1:19" x14ac:dyDescent="0.25">
      <c r="A71" s="15" t="s">
        <v>16</v>
      </c>
      <c r="B71" s="23">
        <v>3</v>
      </c>
    </row>
    <row r="72" spans="1:19" x14ac:dyDescent="0.25">
      <c r="A72" s="24" t="s">
        <v>0</v>
      </c>
      <c r="B72" s="25" t="s">
        <v>17</v>
      </c>
      <c r="C72" s="25" t="s">
        <v>18</v>
      </c>
      <c r="D72" s="25" t="s">
        <v>19</v>
      </c>
      <c r="E72" s="25" t="s">
        <v>20</v>
      </c>
      <c r="F72" s="25" t="s">
        <v>11</v>
      </c>
      <c r="O72" s="16" t="s">
        <v>21</v>
      </c>
      <c r="R72" s="16"/>
      <c r="S72" s="16"/>
    </row>
    <row r="73" spans="1:19" x14ac:dyDescent="0.25">
      <c r="A73" s="27" t="s">
        <v>22</v>
      </c>
      <c r="B73" s="44">
        <v>243.15</v>
      </c>
      <c r="C73" s="44">
        <f>'Water foot print'!AQ47</f>
        <v>224.56654237288134</v>
      </c>
      <c r="D73" s="44">
        <v>233.02</v>
      </c>
      <c r="E73" s="28">
        <f>SUM(B73:D73)</f>
        <v>700.73654237288133</v>
      </c>
      <c r="F73" s="28">
        <f>E73/3</f>
        <v>233.57884745762712</v>
      </c>
      <c r="H73" s="29"/>
      <c r="I73" s="29"/>
      <c r="J73" s="29" t="s">
        <v>23</v>
      </c>
      <c r="K73" s="29"/>
      <c r="L73" s="29"/>
      <c r="M73" s="29"/>
      <c r="N73" s="29"/>
      <c r="O73" s="30">
        <v>1</v>
      </c>
      <c r="P73" s="28">
        <f>SUM(F73:F81)/9</f>
        <v>118.57609152191198</v>
      </c>
      <c r="Q73" s="31">
        <f>RANK(P73,P$73:P$74,0)</f>
        <v>1</v>
      </c>
      <c r="R73" s="16"/>
      <c r="S73" s="16"/>
    </row>
    <row r="74" spans="1:19" x14ac:dyDescent="0.25">
      <c r="A74" s="27" t="s">
        <v>24</v>
      </c>
      <c r="B74" s="44">
        <f>'Water foot print'!AP48</f>
        <v>122.52331606217615</v>
      </c>
      <c r="C74" s="44">
        <f>'Water foot print'!AQ48</f>
        <v>119.52324691093494</v>
      </c>
      <c r="D74" s="44">
        <f>'Water foot print'!AR48</f>
        <v>133.45206629834252</v>
      </c>
      <c r="E74" s="28">
        <f t="shared" ref="E74:E90" si="17">SUM(B74:D74)</f>
        <v>375.49862927145364</v>
      </c>
      <c r="F74" s="28">
        <f t="shared" ref="F74:F87" si="18">E74/3</f>
        <v>125.16620975715121</v>
      </c>
      <c r="G74" s="28"/>
      <c r="H74" s="25" t="s">
        <v>25</v>
      </c>
      <c r="I74" s="25" t="s">
        <v>26</v>
      </c>
      <c r="J74" s="25" t="s">
        <v>27</v>
      </c>
      <c r="K74" s="25" t="s">
        <v>28</v>
      </c>
      <c r="L74" s="25" t="s">
        <v>29</v>
      </c>
      <c r="M74" s="25" t="s">
        <v>30</v>
      </c>
      <c r="N74" s="32"/>
      <c r="O74" s="30">
        <v>2</v>
      </c>
      <c r="P74" s="28">
        <f>SUM(F82:F90)/9</f>
        <v>107.64833778752137</v>
      </c>
      <c r="Q74" s="31">
        <f>RANK(P74,P$73:P$74,0)</f>
        <v>2</v>
      </c>
      <c r="R74" s="16"/>
      <c r="S74" s="16"/>
    </row>
    <row r="75" spans="1:19" x14ac:dyDescent="0.25">
      <c r="A75" s="27" t="s">
        <v>31</v>
      </c>
      <c r="B75" s="44">
        <f>'Water foot print'!AP49</f>
        <v>116.23612339331619</v>
      </c>
      <c r="C75" s="44">
        <f>'Water foot print'!AQ49</f>
        <v>101.79696682464453</v>
      </c>
      <c r="D75" s="44">
        <f>'Water foot print'!AR49</f>
        <v>96.353699072319756</v>
      </c>
      <c r="E75" s="28">
        <f t="shared" si="17"/>
        <v>314.38678929028049</v>
      </c>
      <c r="F75" s="28">
        <f t="shared" si="18"/>
        <v>104.7955964300935</v>
      </c>
      <c r="G75" s="28" t="s">
        <v>32</v>
      </c>
      <c r="H75" s="28">
        <f>B71-1</f>
        <v>2</v>
      </c>
      <c r="I75" s="28">
        <f>D94</f>
        <v>147.51802364818286</v>
      </c>
      <c r="J75" s="28">
        <f>I75/H75</f>
        <v>73.759011824091431</v>
      </c>
      <c r="K75" s="28">
        <f>J75/$J$16</f>
        <v>148614.81976610734</v>
      </c>
      <c r="L75" s="28">
        <f>FINV(0.05,H75,$H$16)</f>
        <v>3.275897990672394</v>
      </c>
      <c r="M75" s="28" t="str">
        <f>IF(K75&gt;=L75, "S", "NS")</f>
        <v>S</v>
      </c>
      <c r="N75" s="21"/>
      <c r="O75" s="25" t="s">
        <v>33</v>
      </c>
      <c r="P75" s="33">
        <f>SQRT(J80/(3*9))</f>
        <v>2.0899297954135263</v>
      </c>
      <c r="R75" s="16"/>
      <c r="S75" s="16"/>
    </row>
    <row r="76" spans="1:19" x14ac:dyDescent="0.25">
      <c r="A76" s="27" t="s">
        <v>34</v>
      </c>
      <c r="B76" s="44">
        <f>'Water foot print'!AP50</f>
        <v>106.37607620513225</v>
      </c>
      <c r="C76" s="44">
        <f>'Water foot print'!AQ50</f>
        <v>109.39911102868068</v>
      </c>
      <c r="D76" s="44">
        <f>'Water foot print'!AR50</f>
        <v>110.49589875420216</v>
      </c>
      <c r="E76" s="28">
        <f t="shared" si="17"/>
        <v>326.2710859880151</v>
      </c>
      <c r="F76" s="28">
        <f t="shared" si="18"/>
        <v>108.7570286626717</v>
      </c>
      <c r="G76" s="28" t="s">
        <v>35</v>
      </c>
      <c r="H76" s="28">
        <f>D70-1</f>
        <v>17</v>
      </c>
      <c r="I76" s="28">
        <f>B95</f>
        <v>168962.05533025251</v>
      </c>
      <c r="J76" s="28">
        <f t="shared" ref="J76:J80" si="19">I76/H76</f>
        <v>9938.9444311913248</v>
      </c>
      <c r="K76" s="28">
        <f>J76/$J$16</f>
        <v>20025680.913805403</v>
      </c>
      <c r="L76" s="28">
        <f>FINV(0.05,H76,$H$16)</f>
        <v>1.9332068318040869</v>
      </c>
      <c r="M76" s="34" t="str">
        <f t="shared" ref="M76" si="20">IF(K76&gt;=L76, "S", "NS")</f>
        <v>S</v>
      </c>
      <c r="N76" s="25" t="s">
        <v>36</v>
      </c>
      <c r="O76" s="25" t="s">
        <v>37</v>
      </c>
      <c r="P76" s="33">
        <f>SQRT((2*J80)/(3*9))*L81</f>
        <v>6.0065162215834293</v>
      </c>
      <c r="R76" s="16"/>
      <c r="S76" s="16"/>
    </row>
    <row r="77" spans="1:19" x14ac:dyDescent="0.25">
      <c r="A77" s="27" t="s">
        <v>38</v>
      </c>
      <c r="B77" s="44">
        <f>'Water foot print'!AP51</f>
        <v>117.28416438356166</v>
      </c>
      <c r="C77" s="44">
        <f>'Water foot print'!AQ51</f>
        <v>122.03199999999998</v>
      </c>
      <c r="D77" s="44">
        <f>'Water foot print'!AR51</f>
        <v>125.11366650590791</v>
      </c>
      <c r="E77" s="28">
        <f t="shared" si="17"/>
        <v>364.42983088946954</v>
      </c>
      <c r="F77" s="28">
        <f t="shared" si="18"/>
        <v>121.47661029648985</v>
      </c>
      <c r="G77" s="28" t="s">
        <v>39</v>
      </c>
      <c r="H77" s="28">
        <f>B69-1</f>
        <v>1</v>
      </c>
      <c r="I77" s="28">
        <f>(SUM(E73:E81)^2+SUM(E82:E90)^2)/27-B93</f>
        <v>1612.1133226730162</v>
      </c>
      <c r="J77" s="28">
        <f t="shared" si="19"/>
        <v>1612.1133226730162</v>
      </c>
      <c r="K77" s="28">
        <f>J77/$J$16</f>
        <v>3248198.7619760516</v>
      </c>
      <c r="L77" s="28">
        <f>FINV(0.05,H77,$H$16)</f>
        <v>4.1300177456520188</v>
      </c>
      <c r="M77" s="28" t="str">
        <f>IF(K77&gt;=L77, "S", "NS")</f>
        <v>S</v>
      </c>
      <c r="N77" s="21"/>
      <c r="O77" s="30">
        <v>1</v>
      </c>
      <c r="P77" s="28">
        <f>(F73+F82)/2</f>
        <v>261.62120838958049</v>
      </c>
      <c r="Q77" s="31">
        <f>RANK(P77,P$77:P$85,0)</f>
        <v>1</v>
      </c>
      <c r="R77" s="35">
        <v>9</v>
      </c>
      <c r="S77" s="16"/>
    </row>
    <row r="78" spans="1:19" x14ac:dyDescent="0.25">
      <c r="A78" s="27" t="s">
        <v>40</v>
      </c>
      <c r="B78" s="44">
        <f>'Water foot print'!AP52</f>
        <v>98.260781609195419</v>
      </c>
      <c r="C78" s="44">
        <f>'Water foot print'!AQ52</f>
        <v>101.98887125506072</v>
      </c>
      <c r="D78" s="44">
        <f>'Water foot print'!AR52</f>
        <v>104.84058233890217</v>
      </c>
      <c r="E78" s="28">
        <f t="shared" si="17"/>
        <v>305.09023520315827</v>
      </c>
      <c r="F78" s="28">
        <f t="shared" si="18"/>
        <v>101.69674506771942</v>
      </c>
      <c r="G78" s="28" t="s">
        <v>41</v>
      </c>
      <c r="H78" s="28">
        <f>B70-1</f>
        <v>8</v>
      </c>
      <c r="I78" s="28">
        <f>((E73+E82)^2+(E74+E83)^2+(E75+E84)^2+(E76+E85)^2+(E77+E86)^2+(E78+E87)^2+(E79+E88)^2+(E80+E89)^2+(E81+E90)^2/6)-B93</f>
        <v>4244482.960266198</v>
      </c>
      <c r="J78" s="28">
        <f t="shared" si="19"/>
        <v>530560.37003327475</v>
      </c>
      <c r="K78" s="28">
        <f>J78/$J$16</f>
        <v>1069010169.9787192</v>
      </c>
      <c r="L78" s="28">
        <f>FINV(0.05,H78,$H$16)</f>
        <v>2.2253399674380931</v>
      </c>
      <c r="M78" s="28" t="str">
        <f>IF(K78&gt;=L78, "S", "NS")</f>
        <v>S</v>
      </c>
      <c r="N78" s="21"/>
      <c r="O78" s="30">
        <v>2</v>
      </c>
      <c r="P78" s="28">
        <f t="shared" ref="P78:P85" si="21">(F74+F83)/2</f>
        <v>110.57925373649032</v>
      </c>
      <c r="Q78" s="31">
        <f t="shared" ref="Q78:Q84" si="22">RANK(P78,P$77:P$85,0)</f>
        <v>3</v>
      </c>
      <c r="R78" s="37">
        <v>5</v>
      </c>
      <c r="S78" s="16"/>
    </row>
    <row r="79" spans="1:19" x14ac:dyDescent="0.25">
      <c r="A79" s="27" t="s">
        <v>42</v>
      </c>
      <c r="B79" s="44">
        <f>'Water foot print'!AP53</f>
        <v>84.753723294113314</v>
      </c>
      <c r="C79" s="44">
        <f>'Water foot print'!AQ53</f>
        <v>92.289271255060726</v>
      </c>
      <c r="D79" s="44">
        <f>'Water foot print'!AR53</f>
        <v>99.248470181503876</v>
      </c>
      <c r="E79" s="28">
        <f t="shared" si="17"/>
        <v>276.29146473067794</v>
      </c>
      <c r="F79" s="28">
        <f t="shared" si="18"/>
        <v>92.097154910225981</v>
      </c>
      <c r="G79" s="38" t="s">
        <v>43</v>
      </c>
      <c r="H79" s="28">
        <f>H77*H78</f>
        <v>8</v>
      </c>
      <c r="I79" s="28">
        <f>I76-(I77+I78)</f>
        <v>-4077133.0182586191</v>
      </c>
      <c r="J79" s="28">
        <f t="shared" si="19"/>
        <v>-509641.62728232739</v>
      </c>
      <c r="K79" s="39">
        <f>J79/$J$16</f>
        <v>-1026861622.8821299</v>
      </c>
      <c r="L79" s="28">
        <f>FINV(0.05,H79,$H$16)</f>
        <v>2.2253399674380931</v>
      </c>
      <c r="M79" s="28" t="str">
        <f t="shared" ref="M79" si="23">IF(K79&gt;=L79, "S", "NS")</f>
        <v>NS</v>
      </c>
      <c r="N79" s="21"/>
      <c r="O79" s="30">
        <v>3</v>
      </c>
      <c r="P79" s="28">
        <f t="shared" si="21"/>
        <v>110.60583525208378</v>
      </c>
      <c r="Q79" s="31">
        <f t="shared" si="22"/>
        <v>2</v>
      </c>
      <c r="R79" s="37">
        <v>2</v>
      </c>
      <c r="S79" s="16"/>
    </row>
    <row r="80" spans="1:19" x14ac:dyDescent="0.25">
      <c r="A80" s="27" t="s">
        <v>44</v>
      </c>
      <c r="B80" s="44">
        <f>'Water foot print'!AP54</f>
        <v>93.6660107470056</v>
      </c>
      <c r="C80" s="44">
        <f>'Water foot print'!AQ54</f>
        <v>95.965142836288578</v>
      </c>
      <c r="D80" s="44">
        <f>'Water foot print'!AR54</f>
        <v>99.690589279715908</v>
      </c>
      <c r="E80" s="28">
        <f t="shared" si="17"/>
        <v>289.32174286301006</v>
      </c>
      <c r="F80" s="28">
        <f t="shared" si="18"/>
        <v>96.440580954336681</v>
      </c>
      <c r="G80" s="40" t="s">
        <v>45</v>
      </c>
      <c r="H80" s="28">
        <f>((B71-1)*(B69*B70-1))</f>
        <v>34</v>
      </c>
      <c r="I80" s="28">
        <f>D95</f>
        <v>4009.6464126771316</v>
      </c>
      <c r="J80" s="28">
        <f t="shared" si="19"/>
        <v>117.93077684344505</v>
      </c>
      <c r="O80" s="30">
        <v>4</v>
      </c>
      <c r="P80" s="28">
        <f t="shared" si="21"/>
        <v>99.825519216428205</v>
      </c>
      <c r="Q80" s="31">
        <f t="shared" si="22"/>
        <v>4</v>
      </c>
      <c r="R80" s="37">
        <v>7</v>
      </c>
      <c r="S80" s="16"/>
    </row>
    <row r="81" spans="1:18" x14ac:dyDescent="0.25">
      <c r="A81" s="27" t="s">
        <v>46</v>
      </c>
      <c r="B81" s="44">
        <f>'Water foot print'!AP55</f>
        <v>76.302604616450779</v>
      </c>
      <c r="C81" s="44">
        <f>'Water foot print'!AQ55</f>
        <v>85.358141372272883</v>
      </c>
      <c r="D81" s="44">
        <f>'Water foot print'!AR55</f>
        <v>87.867404493953003</v>
      </c>
      <c r="E81" s="28">
        <f t="shared" si="17"/>
        <v>249.52815048267666</v>
      </c>
      <c r="F81" s="28">
        <f t="shared" si="18"/>
        <v>83.176050160892217</v>
      </c>
      <c r="G81" s="39" t="s">
        <v>20</v>
      </c>
      <c r="H81" s="28">
        <f>SUM(H75:H80)-H76</f>
        <v>53</v>
      </c>
      <c r="I81" s="28">
        <f>B94</f>
        <v>173119.21976657782</v>
      </c>
      <c r="K81" s="28" t="s">
        <v>47</v>
      </c>
      <c r="L81" s="16">
        <f>TINV(0.05,34)</f>
        <v>2.0322445093177191</v>
      </c>
      <c r="O81" s="30">
        <v>5</v>
      </c>
      <c r="P81" s="28">
        <f t="shared" si="21"/>
        <v>98.649535094442044</v>
      </c>
      <c r="Q81" s="31">
        <f t="shared" si="22"/>
        <v>5</v>
      </c>
      <c r="R81" s="35">
        <v>3</v>
      </c>
    </row>
    <row r="82" spans="1:18" x14ac:dyDescent="0.25">
      <c r="A82" s="27" t="s">
        <v>48</v>
      </c>
      <c r="B82" s="44">
        <v>301.27999999999997</v>
      </c>
      <c r="C82" s="44">
        <v>314.58</v>
      </c>
      <c r="D82" s="44">
        <f>'Water foot print'!AR56</f>
        <v>253.13070796460173</v>
      </c>
      <c r="E82" s="28">
        <f t="shared" si="17"/>
        <v>868.9907079646016</v>
      </c>
      <c r="F82" s="28">
        <f t="shared" si="18"/>
        <v>289.66356932153388</v>
      </c>
      <c r="G82" s="42" t="s">
        <v>33</v>
      </c>
      <c r="H82" s="28">
        <f>SQRT(J80/3)</f>
        <v>6.2697893862405785</v>
      </c>
      <c r="O82" s="30">
        <v>6</v>
      </c>
      <c r="P82" s="28">
        <f t="shared" si="21"/>
        <v>86.612147797121338</v>
      </c>
      <c r="Q82" s="31">
        <f t="shared" si="22"/>
        <v>8</v>
      </c>
      <c r="R82" s="37">
        <v>1</v>
      </c>
    </row>
    <row r="83" spans="1:18" x14ac:dyDescent="0.25">
      <c r="A83" s="27" t="s">
        <v>49</v>
      </c>
      <c r="B83" s="44">
        <f>'Water foot print'!AP57</f>
        <v>102.04953142599685</v>
      </c>
      <c r="C83" s="44">
        <f>'Water foot print'!AQ57</f>
        <v>105.21723040191007</v>
      </c>
      <c r="D83" s="44">
        <f>'Water foot print'!AR57</f>
        <v>80.71013131958135</v>
      </c>
      <c r="E83" s="28">
        <f t="shared" si="17"/>
        <v>287.97689314748828</v>
      </c>
      <c r="F83" s="28">
        <f t="shared" si="18"/>
        <v>95.992297715829423</v>
      </c>
      <c r="G83" s="42" t="s">
        <v>37</v>
      </c>
      <c r="H83" s="28">
        <f>(SQRT((2*J80)/3))*L81</f>
        <v>18.019548664750289</v>
      </c>
      <c r="O83" s="30">
        <v>7</v>
      </c>
      <c r="P83" s="28">
        <f t="shared" si="21"/>
        <v>91.434056231021344</v>
      </c>
      <c r="Q83" s="31">
        <f t="shared" si="22"/>
        <v>6</v>
      </c>
      <c r="R83" s="37">
        <v>6</v>
      </c>
    </row>
    <row r="84" spans="1:18" x14ac:dyDescent="0.25">
      <c r="A84" s="27" t="s">
        <v>50</v>
      </c>
      <c r="B84" s="44">
        <f>'Water foot print'!AP58</f>
        <v>113.03314285714283</v>
      </c>
      <c r="C84" s="44">
        <f>'Water foot print'!AQ58</f>
        <v>120.50228571428572</v>
      </c>
      <c r="D84" s="44">
        <f>'Water foot print'!AR58</f>
        <v>115.71279365079367</v>
      </c>
      <c r="E84" s="28">
        <f t="shared" si="17"/>
        <v>349.24822222222224</v>
      </c>
      <c r="F84" s="28">
        <f t="shared" si="18"/>
        <v>116.41607407407407</v>
      </c>
      <c r="G84" s="42" t="s">
        <v>51</v>
      </c>
      <c r="H84" s="28">
        <f>((SQRT(J80))/F91)*100</f>
        <v>9.6007259718806441</v>
      </c>
      <c r="O84" s="30">
        <v>8</v>
      </c>
      <c r="P84" s="28">
        <f t="shared" si="21"/>
        <v>88.336337836074989</v>
      </c>
      <c r="Q84" s="31">
        <f t="shared" si="22"/>
        <v>7</v>
      </c>
      <c r="R84" s="35">
        <v>4</v>
      </c>
    </row>
    <row r="85" spans="1:18" x14ac:dyDescent="0.25">
      <c r="A85" s="27" t="s">
        <v>52</v>
      </c>
      <c r="B85" s="44">
        <f>'Water foot print'!AP59</f>
        <v>89.525477572559382</v>
      </c>
      <c r="C85" s="44">
        <f>'Water foot print'!AQ59</f>
        <v>89.322551737994786</v>
      </c>
      <c r="D85" s="44">
        <f>'Water foot print'!AR59</f>
        <v>93.834000000000003</v>
      </c>
      <c r="E85" s="28">
        <f t="shared" si="17"/>
        <v>272.68202931055419</v>
      </c>
      <c r="F85" s="28">
        <f t="shared" si="18"/>
        <v>90.894009770184724</v>
      </c>
      <c r="O85" s="30">
        <v>9</v>
      </c>
      <c r="P85" s="28">
        <f t="shared" si="21"/>
        <v>70.34603833920751</v>
      </c>
      <c r="Q85" s="31">
        <f>RANK(P85,P$77:P$85,0)</f>
        <v>9</v>
      </c>
      <c r="R85" s="37">
        <v>8</v>
      </c>
    </row>
    <row r="86" spans="1:18" x14ac:dyDescent="0.25">
      <c r="A86" s="27" t="s">
        <v>53</v>
      </c>
      <c r="B86" s="44">
        <f>'Water foot print'!AP60</f>
        <v>82.242482758620724</v>
      </c>
      <c r="C86" s="44">
        <f>'Water foot print'!AQ60</f>
        <v>68.490638297872323</v>
      </c>
      <c r="D86" s="44">
        <f>'Water foot print'!AR60</f>
        <v>76.73425862068963</v>
      </c>
      <c r="E86" s="28">
        <f t="shared" si="17"/>
        <v>227.46737967718269</v>
      </c>
      <c r="F86" s="28">
        <f t="shared" si="18"/>
        <v>75.822459892394235</v>
      </c>
      <c r="O86" s="25" t="s">
        <v>33</v>
      </c>
      <c r="P86" s="33">
        <f>SQRT(J80/(3*2))</f>
        <v>4.4334105916221551</v>
      </c>
      <c r="Q86" s="31"/>
    </row>
    <row r="87" spans="1:18" x14ac:dyDescent="0.25">
      <c r="A87" s="27" t="s">
        <v>55</v>
      </c>
      <c r="B87" s="44">
        <f>'Water foot print'!AP61</f>
        <v>75.561594132029356</v>
      </c>
      <c r="C87" s="44">
        <f>'Water foot print'!AQ61</f>
        <v>71.874613003096002</v>
      </c>
      <c r="D87" s="44">
        <f>'Water foot print'!AR61</f>
        <v>67.146444444444427</v>
      </c>
      <c r="E87" s="28">
        <f t="shared" si="17"/>
        <v>214.58265157956978</v>
      </c>
      <c r="F87" s="28">
        <f t="shared" si="18"/>
        <v>71.527550526523257</v>
      </c>
      <c r="N87" s="25" t="s">
        <v>41</v>
      </c>
      <c r="O87" s="25" t="s">
        <v>37</v>
      </c>
      <c r="P87" s="33">
        <f>SQRT((2*J80)/(3*2))*L81</f>
        <v>12.741745054765927</v>
      </c>
      <c r="Q87" s="31"/>
    </row>
    <row r="88" spans="1:18" x14ac:dyDescent="0.25">
      <c r="A88" s="27" t="s">
        <v>56</v>
      </c>
      <c r="B88" s="44">
        <f>'Water foot print'!AP62</f>
        <v>111.53786301369864</v>
      </c>
      <c r="C88" s="44">
        <f>'Water foot print'!AQ62</f>
        <v>76.336797877045541</v>
      </c>
      <c r="D88" s="44">
        <f>'Water foot print'!AR62</f>
        <v>84.438211764705898</v>
      </c>
      <c r="E88" s="28">
        <f t="shared" si="17"/>
        <v>272.31287265545006</v>
      </c>
      <c r="F88" s="28">
        <f>E88/3</f>
        <v>90.770957551816693</v>
      </c>
      <c r="Q88" s="31"/>
    </row>
    <row r="89" spans="1:18" x14ac:dyDescent="0.25">
      <c r="A89" s="27" t="s">
        <v>57</v>
      </c>
      <c r="B89" s="44">
        <f>'Water foot print'!AP63</f>
        <v>77.52053205227547</v>
      </c>
      <c r="C89" s="44">
        <f>'Water foot print'!AQ63</f>
        <v>79.356921783010961</v>
      </c>
      <c r="D89" s="44">
        <f>'Water foot print'!AR63</f>
        <v>83.818830318153488</v>
      </c>
      <c r="E89" s="28">
        <f t="shared" si="17"/>
        <v>240.6962841534399</v>
      </c>
      <c r="F89" s="28">
        <f t="shared" ref="F89:F90" si="24">E89/3</f>
        <v>80.232094717813297</v>
      </c>
    </row>
    <row r="90" spans="1:18" x14ac:dyDescent="0.25">
      <c r="A90" s="27" t="s">
        <v>58</v>
      </c>
      <c r="B90" s="44">
        <f>'Water foot print'!AP64</f>
        <v>63.990038610038603</v>
      </c>
      <c r="C90" s="44">
        <f>'Water foot print'!AQ64</f>
        <v>50.853712171520712</v>
      </c>
      <c r="D90" s="44">
        <f>'Water foot print'!AR64</f>
        <v>57.704328771009116</v>
      </c>
      <c r="E90" s="28">
        <f t="shared" si="17"/>
        <v>172.54807955256842</v>
      </c>
      <c r="F90" s="28">
        <f t="shared" si="24"/>
        <v>57.51602651752281</v>
      </c>
    </row>
    <row r="91" spans="1:18" x14ac:dyDescent="0.25">
      <c r="A91" s="25" t="s">
        <v>20</v>
      </c>
      <c r="B91" s="28">
        <f>SUM(B73:B90)</f>
        <v>2075.2934627333129</v>
      </c>
      <c r="C91" s="28">
        <f t="shared" ref="C91:D91" si="25">SUM(C73:C90)</f>
        <v>2029.4540448425603</v>
      </c>
      <c r="D91" s="28">
        <f t="shared" si="25"/>
        <v>2003.3120837788265</v>
      </c>
      <c r="E91" s="28">
        <f>SUM(E73:E90)</f>
        <v>6108.0595913547004</v>
      </c>
      <c r="F91" s="28">
        <f>AVERAGE(B73:D90)</f>
        <v>113.11221465471669</v>
      </c>
    </row>
    <row r="92" spans="1:18" x14ac:dyDescent="0.25">
      <c r="A92" s="25" t="s">
        <v>11</v>
      </c>
      <c r="B92" s="28">
        <f>B91/18</f>
        <v>115.29408126296183</v>
      </c>
      <c r="C92" s="28">
        <f>C91/18</f>
        <v>112.74744693569779</v>
      </c>
      <c r="D92" s="28">
        <f>D91/18</f>
        <v>111.29511576549037</v>
      </c>
    </row>
    <row r="93" spans="1:18" x14ac:dyDescent="0.25">
      <c r="A93" s="25" t="s">
        <v>59</v>
      </c>
      <c r="B93" s="28">
        <f>(E91*E91)/54</f>
        <v>690896.14762111392</v>
      </c>
      <c r="C93" s="28"/>
      <c r="D93" s="28"/>
    </row>
    <row r="94" spans="1:18" x14ac:dyDescent="0.25">
      <c r="A94" s="25" t="s">
        <v>60</v>
      </c>
      <c r="B94" s="28">
        <f>SUMSQ(B73:D90)-B93</f>
        <v>173119.21976657782</v>
      </c>
      <c r="C94" s="25" t="s">
        <v>61</v>
      </c>
      <c r="D94" s="28">
        <f>(SUMSQ(B91:D91)/18)-B93</f>
        <v>147.51802364818286</v>
      </c>
    </row>
    <row r="95" spans="1:18" x14ac:dyDescent="0.25">
      <c r="A95" s="25" t="s">
        <v>62</v>
      </c>
      <c r="B95" s="28">
        <f>(SUMSQ(E73:E90)/3)-B93</f>
        <v>168962.05533025251</v>
      </c>
      <c r="C95" s="25" t="s">
        <v>63</v>
      </c>
      <c r="D95" s="28">
        <f>B94-B95-D94</f>
        <v>4009.6464126771316</v>
      </c>
    </row>
    <row r="99" spans="1:18" ht="15.75" x14ac:dyDescent="0.25">
      <c r="C99" s="18" t="s">
        <v>102</v>
      </c>
    </row>
    <row r="101" spans="1:18" x14ac:dyDescent="0.25">
      <c r="A101" s="19" t="s">
        <v>13</v>
      </c>
      <c r="B101" s="20">
        <v>2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2"/>
      <c r="N101" s="22"/>
      <c r="O101" s="21"/>
      <c r="P101" s="21"/>
    </row>
    <row r="102" spans="1:18" x14ac:dyDescent="0.25">
      <c r="A102" s="19" t="s">
        <v>14</v>
      </c>
      <c r="B102" s="20">
        <v>9</v>
      </c>
      <c r="C102" s="21" t="s">
        <v>15</v>
      </c>
      <c r="D102" s="21">
        <v>18</v>
      </c>
      <c r="E102" s="21"/>
      <c r="F102" s="21"/>
      <c r="G102" s="21"/>
      <c r="H102" s="21"/>
      <c r="I102" s="21"/>
      <c r="J102" s="21"/>
      <c r="K102" s="21"/>
      <c r="L102" s="21"/>
      <c r="M102" s="22"/>
      <c r="N102" s="22"/>
      <c r="O102" s="21"/>
      <c r="P102" s="21"/>
    </row>
    <row r="103" spans="1:18" x14ac:dyDescent="0.25">
      <c r="A103" s="15" t="s">
        <v>16</v>
      </c>
      <c r="B103" s="23">
        <v>3</v>
      </c>
    </row>
    <row r="104" spans="1:18" x14ac:dyDescent="0.25">
      <c r="A104" s="24" t="s">
        <v>0</v>
      </c>
      <c r="B104" s="25" t="s">
        <v>17</v>
      </c>
      <c r="C104" s="25" t="s">
        <v>18</v>
      </c>
      <c r="D104" s="25" t="s">
        <v>19</v>
      </c>
      <c r="E104" s="25" t="s">
        <v>20</v>
      </c>
      <c r="F104" s="25" t="s">
        <v>11</v>
      </c>
      <c r="O104" s="16" t="s">
        <v>21</v>
      </c>
      <c r="R104" s="16"/>
    </row>
    <row r="105" spans="1:18" x14ac:dyDescent="0.25">
      <c r="A105" s="27" t="s">
        <v>22</v>
      </c>
      <c r="B105" s="44">
        <f>'Water foot print'!AT47</f>
        <v>2.9515849056606385</v>
      </c>
      <c r="C105" s="44">
        <f>'Water foot print'!AU47</f>
        <v>3.3024491525420672</v>
      </c>
      <c r="D105" s="44">
        <f>'Water foot print'!AV47</f>
        <v>4.0150649350648564</v>
      </c>
      <c r="E105" s="28">
        <f>SUM(B105:D105)</f>
        <v>10.269098993267562</v>
      </c>
      <c r="F105" s="28">
        <f>E105/3</f>
        <v>3.423032997755854</v>
      </c>
      <c r="H105" s="29"/>
      <c r="I105" s="29"/>
      <c r="J105" s="29" t="s">
        <v>23</v>
      </c>
      <c r="K105" s="29"/>
      <c r="L105" s="29"/>
      <c r="M105" s="29"/>
      <c r="N105" s="29"/>
      <c r="O105" s="30">
        <v>1</v>
      </c>
      <c r="P105" s="33">
        <f>SUM(F105:F113)/9</f>
        <v>1.7424382681161004</v>
      </c>
      <c r="Q105" s="31">
        <f>RANK(P105,P$105:P$106,0)</f>
        <v>1</v>
      </c>
      <c r="R105" s="16"/>
    </row>
    <row r="106" spans="1:18" x14ac:dyDescent="0.25">
      <c r="A106" s="27" t="s">
        <v>24</v>
      </c>
      <c r="B106" s="44">
        <f>'Water foot print'!AT48</f>
        <v>1.8018134715030101</v>
      </c>
      <c r="C106" s="44">
        <f>'Water foot print'!AU48</f>
        <v>1.757694807514099</v>
      </c>
      <c r="D106" s="44">
        <f>'Water foot print'!AV48</f>
        <v>1.9625303867403545</v>
      </c>
      <c r="E106" s="28">
        <f t="shared" ref="E106:E122" si="26">SUM(B106:D106)</f>
        <v>5.5220386657574636</v>
      </c>
      <c r="F106" s="28">
        <f t="shared" ref="F106:F119" si="27">E106/3</f>
        <v>1.8406795552524879</v>
      </c>
      <c r="G106" s="28"/>
      <c r="H106" s="25" t="s">
        <v>25</v>
      </c>
      <c r="I106" s="25" t="s">
        <v>26</v>
      </c>
      <c r="J106" s="25" t="s">
        <v>27</v>
      </c>
      <c r="K106" s="25" t="s">
        <v>28</v>
      </c>
      <c r="L106" s="25" t="s">
        <v>29</v>
      </c>
      <c r="M106" s="25" t="s">
        <v>30</v>
      </c>
      <c r="N106" s="32"/>
      <c r="O106" s="30">
        <v>2</v>
      </c>
      <c r="P106" s="33">
        <f>SUM(F114:F122)/9</f>
        <v>1.3800503162972206</v>
      </c>
      <c r="Q106" s="31">
        <f>RANK(P106,P$105:P$106,0)</f>
        <v>2</v>
      </c>
      <c r="R106" s="16"/>
    </row>
    <row r="107" spans="1:18" x14ac:dyDescent="0.25">
      <c r="A107" s="27" t="s">
        <v>31</v>
      </c>
      <c r="B107" s="44">
        <f>'Water foot print'!AT49</f>
        <v>1.7093547557842612</v>
      </c>
      <c r="C107" s="44">
        <f>'Water foot print'!AU49</f>
        <v>1.497014218009781</v>
      </c>
      <c r="D107" s="44">
        <f>'Water foot print'!AV49</f>
        <v>1.4169661628282029</v>
      </c>
      <c r="E107" s="28">
        <f t="shared" si="26"/>
        <v>4.623335136622245</v>
      </c>
      <c r="F107" s="28">
        <f t="shared" si="27"/>
        <v>1.5411117122074149</v>
      </c>
      <c r="G107" s="28" t="s">
        <v>32</v>
      </c>
      <c r="H107" s="28">
        <f>B103-1</f>
        <v>2</v>
      </c>
      <c r="I107" s="28">
        <f>D126</f>
        <v>0.19029716101016447</v>
      </c>
      <c r="J107" s="28">
        <f>I107/H107</f>
        <v>9.5148580505082236E-2</v>
      </c>
      <c r="K107" s="28">
        <f>J107/$J$16</f>
        <v>191.7120199018872</v>
      </c>
      <c r="L107" s="28">
        <f>FINV(0.05,H107,$H$16)</f>
        <v>3.275897990672394</v>
      </c>
      <c r="M107" s="28" t="str">
        <f>IF(K107&gt;=L107, "S", "NS")</f>
        <v>S</v>
      </c>
      <c r="N107" s="21"/>
      <c r="O107" s="25" t="s">
        <v>33</v>
      </c>
      <c r="P107" s="33">
        <f>SQRT(J112/(3*9))</f>
        <v>7.2319146351182029E-2</v>
      </c>
      <c r="R107" s="16"/>
    </row>
    <row r="108" spans="1:18" x14ac:dyDescent="0.25">
      <c r="A108" s="27" t="s">
        <v>34</v>
      </c>
      <c r="B108" s="44">
        <f>'Water foot print'!AT50</f>
        <v>1.5643540618405041</v>
      </c>
      <c r="C108" s="44">
        <f>'Water foot print'!AU50</f>
        <v>1.608810456304127</v>
      </c>
      <c r="D108" s="44">
        <f>'Water foot print'!AV50</f>
        <v>1.6249396875618913</v>
      </c>
      <c r="E108" s="28">
        <f t="shared" si="26"/>
        <v>4.7981042057065224</v>
      </c>
      <c r="F108" s="28">
        <f t="shared" si="27"/>
        <v>1.5993680685688407</v>
      </c>
      <c r="G108" s="28" t="s">
        <v>35</v>
      </c>
      <c r="H108" s="28">
        <f>D102-1</f>
        <v>17</v>
      </c>
      <c r="I108" s="28">
        <f>B127</f>
        <v>31.688135829972822</v>
      </c>
      <c r="J108" s="28">
        <f t="shared" ref="J108:J112" si="28">I108/H108</f>
        <v>1.8640079899984012</v>
      </c>
      <c r="K108" s="28">
        <f>J108/$J$16</f>
        <v>3755.7337690052323</v>
      </c>
      <c r="L108" s="28">
        <f>FINV(0.05,H108,$H$16)</f>
        <v>1.9332068318040869</v>
      </c>
      <c r="M108" s="34" t="str">
        <f t="shared" ref="M108" si="29">IF(K108&gt;=L108, "S", "NS")</f>
        <v>S</v>
      </c>
      <c r="N108" s="25" t="s">
        <v>36</v>
      </c>
      <c r="O108" s="25" t="s">
        <v>37</v>
      </c>
      <c r="P108" s="33">
        <f>SQRT((2*J112)/(3*9))*L113</f>
        <v>0.20784723326244112</v>
      </c>
      <c r="R108" s="16"/>
    </row>
    <row r="109" spans="1:18" x14ac:dyDescent="0.25">
      <c r="A109" s="27" t="s">
        <v>38</v>
      </c>
      <c r="B109" s="44">
        <f>'Water foot print'!AT51</f>
        <v>1.7247671232878474</v>
      </c>
      <c r="C109" s="44">
        <f>'Water foot print'!AU51</f>
        <v>1.7945882352942135</v>
      </c>
      <c r="D109" s="44">
        <f>'Water foot print'!AV51</f>
        <v>1.8399068603810065</v>
      </c>
      <c r="E109" s="28">
        <f t="shared" si="26"/>
        <v>5.3592622189630674</v>
      </c>
      <c r="F109" s="28">
        <f t="shared" si="27"/>
        <v>1.7864207396543559</v>
      </c>
      <c r="G109" s="28" t="s">
        <v>39</v>
      </c>
      <c r="H109" s="28">
        <f>B101-1</f>
        <v>1</v>
      </c>
      <c r="I109" s="28">
        <f>(SUM(E105:E113)^2+SUM(E114:E122)^2)/27-B125</f>
        <v>1.7728878729170106</v>
      </c>
      <c r="J109" s="28">
        <f t="shared" si="28"/>
        <v>1.7728878729170106</v>
      </c>
      <c r="K109" s="28">
        <f>J109/$J$16</f>
        <v>3572.1385791806524</v>
      </c>
      <c r="L109" s="28">
        <f>FINV(0.05,H109,$H$16)</f>
        <v>4.1300177456520188</v>
      </c>
      <c r="M109" s="28" t="str">
        <f>IF(K109&gt;=L109, "S", "NS")</f>
        <v>S</v>
      </c>
      <c r="N109" s="21"/>
      <c r="O109" s="30">
        <v>1</v>
      </c>
      <c r="P109" s="33">
        <f>(F105+F114)/2</f>
        <v>3.5680796480730805</v>
      </c>
      <c r="Q109" s="31">
        <f>RANK(P109,P$109:P$117,0)</f>
        <v>1</v>
      </c>
      <c r="R109" s="35">
        <v>9</v>
      </c>
    </row>
    <row r="110" spans="1:18" x14ac:dyDescent="0.25">
      <c r="A110" s="27" t="s">
        <v>40</v>
      </c>
      <c r="B110" s="44">
        <f>'Water foot print'!AT52</f>
        <v>1.4450114942530945</v>
      </c>
      <c r="C110" s="44">
        <f>'Water foot print'!AU52</f>
        <v>1.4998363419861107</v>
      </c>
      <c r="D110" s="44">
        <f>'Water foot print'!AV52</f>
        <v>1.5417732696898838</v>
      </c>
      <c r="E110" s="28">
        <f t="shared" si="26"/>
        <v>4.486621105929089</v>
      </c>
      <c r="F110" s="28">
        <f t="shared" si="27"/>
        <v>1.4955403686430297</v>
      </c>
      <c r="G110" s="28" t="s">
        <v>41</v>
      </c>
      <c r="H110" s="28">
        <f>B102-1</f>
        <v>8</v>
      </c>
      <c r="I110" s="28">
        <f>((E105+E114)^2+(E106+E115)^2+(E107+E116)^2+(E108+E117)^2+(E109+E118)^2+(E110+E119)^2+(E111+E120)^2+(E112+E121)^2+(E113+E122)^2/6)-B125</f>
        <v>800.79976472045655</v>
      </c>
      <c r="J110" s="28">
        <f t="shared" si="28"/>
        <v>100.09997059005707</v>
      </c>
      <c r="K110" s="28">
        <f>J110/$J$16</f>
        <v>201688.42721636101</v>
      </c>
      <c r="L110" s="28">
        <f>FINV(0.05,H110,$H$16)</f>
        <v>2.2253399674380931</v>
      </c>
      <c r="M110" s="28" t="str">
        <f>IF(K110&gt;=L110, "S", "NS")</f>
        <v>S</v>
      </c>
      <c r="N110" s="21"/>
      <c r="O110" s="30">
        <v>2</v>
      </c>
      <c r="P110" s="33">
        <f t="shared" ref="P110:P117" si="30">(F106+F115)/2</f>
        <v>1.5356750193944513</v>
      </c>
      <c r="Q110" s="31">
        <f t="shared" ref="Q110:Q117" si="31">RANK(P110,P$109:P$117,0)</f>
        <v>2</v>
      </c>
      <c r="R110" s="37">
        <v>5</v>
      </c>
    </row>
    <row r="111" spans="1:18" x14ac:dyDescent="0.25">
      <c r="A111" s="27" t="s">
        <v>42</v>
      </c>
      <c r="B111" s="44">
        <f>'Water foot print'!AT53</f>
        <v>1.2463782837369308</v>
      </c>
      <c r="C111" s="44">
        <f>'Water foot print'!AU53</f>
        <v>1.3571951655155772</v>
      </c>
      <c r="D111" s="44">
        <f>'Water foot print'!AV53</f>
        <v>1.459536326198986</v>
      </c>
      <c r="E111" s="28">
        <f t="shared" si="26"/>
        <v>4.063109775451494</v>
      </c>
      <c r="F111" s="28">
        <f t="shared" si="27"/>
        <v>1.3543699251504979</v>
      </c>
      <c r="G111" s="38" t="s">
        <v>43</v>
      </c>
      <c r="H111" s="28">
        <f>H109*H110</f>
        <v>8</v>
      </c>
      <c r="I111" s="28">
        <f>I108-(I109+I110)</f>
        <v>-770.88451676340071</v>
      </c>
      <c r="J111" s="28">
        <f t="shared" si="28"/>
        <v>-96.360564595425089</v>
      </c>
      <c r="K111" s="39">
        <f>J111/$J$16</f>
        <v>-194154.01027962245</v>
      </c>
      <c r="L111" s="28">
        <f>FINV(0.05,H111,$H$16)</f>
        <v>2.2253399674380931</v>
      </c>
      <c r="M111" s="28" t="str">
        <f t="shared" ref="M111" si="32">IF(K111&gt;=L111, "S", "NS")</f>
        <v>NS</v>
      </c>
      <c r="N111" s="21"/>
      <c r="O111" s="30">
        <v>3</v>
      </c>
      <c r="P111" s="33">
        <f t="shared" si="30"/>
        <v>1.5168127411939925</v>
      </c>
      <c r="Q111" s="31">
        <f t="shared" si="31"/>
        <v>3</v>
      </c>
      <c r="R111" s="37">
        <v>2</v>
      </c>
    </row>
    <row r="112" spans="1:18" x14ac:dyDescent="0.25">
      <c r="A112" s="27" t="s">
        <v>44</v>
      </c>
      <c r="B112" s="44">
        <f>'Water foot print'!AT54</f>
        <v>1.3774413345149696</v>
      </c>
      <c r="C112" s="44">
        <f>'Water foot print'!AU54</f>
        <v>1.4112521005336021</v>
      </c>
      <c r="D112" s="44">
        <f>'Water foot print'!AV54</f>
        <v>1.4660380776431339</v>
      </c>
      <c r="E112" s="28">
        <f t="shared" si="26"/>
        <v>4.2547315126917056</v>
      </c>
      <c r="F112" s="28">
        <f t="shared" si="27"/>
        <v>1.4182438375639019</v>
      </c>
      <c r="G112" s="40" t="s">
        <v>45</v>
      </c>
      <c r="H112" s="28">
        <f>((B103-1)*(B101*B102-1))</f>
        <v>34</v>
      </c>
      <c r="I112" s="28">
        <f>D127</f>
        <v>4.801194096788663</v>
      </c>
      <c r="J112" s="28">
        <f t="shared" si="28"/>
        <v>0.1412115910820195</v>
      </c>
      <c r="O112" s="30">
        <v>4</v>
      </c>
      <c r="P112" s="33">
        <f t="shared" si="30"/>
        <v>1.3823379430676823</v>
      </c>
      <c r="Q112" s="31">
        <f t="shared" si="31"/>
        <v>4</v>
      </c>
      <c r="R112" s="37">
        <v>7</v>
      </c>
    </row>
    <row r="113" spans="1:18" x14ac:dyDescent="0.25">
      <c r="A113" s="27" t="s">
        <v>46</v>
      </c>
      <c r="B113" s="44">
        <f>'Water foot print'!AT55</f>
        <v>1.1220971267127879</v>
      </c>
      <c r="C113" s="44">
        <f>'Water foot print'!AU55</f>
        <v>1.2552667848863166</v>
      </c>
      <c r="D113" s="44">
        <f>'Water foot print'!AV55</f>
        <v>1.2921677131464548</v>
      </c>
      <c r="E113" s="28">
        <f t="shared" si="26"/>
        <v>3.6695316247455594</v>
      </c>
      <c r="F113" s="28">
        <f t="shared" si="27"/>
        <v>1.2231772082485197</v>
      </c>
      <c r="G113" s="39" t="s">
        <v>20</v>
      </c>
      <c r="H113" s="28">
        <f>SUM(H107:H112)-H108</f>
        <v>53</v>
      </c>
      <c r="I113" s="28">
        <f>B126</f>
        <v>36.679627087771649</v>
      </c>
      <c r="K113" s="28" t="s">
        <v>47</v>
      </c>
      <c r="L113" s="16">
        <f>TINV(0.05,34)</f>
        <v>2.0322445093177191</v>
      </c>
      <c r="O113" s="30">
        <v>5</v>
      </c>
      <c r="P113" s="33">
        <f t="shared" si="30"/>
        <v>1.3792517793938071</v>
      </c>
      <c r="Q113" s="31">
        <f t="shared" si="31"/>
        <v>5</v>
      </c>
      <c r="R113" s="35">
        <v>3</v>
      </c>
    </row>
    <row r="114" spans="1:18" x14ac:dyDescent="0.25">
      <c r="A114" s="27" t="s">
        <v>48</v>
      </c>
      <c r="B114" s="44">
        <f>'Water foot print'!AT56</f>
        <v>2.5805660377363893</v>
      </c>
      <c r="C114" s="44">
        <f>'Water foot print'!AU56</f>
        <v>5.313547370708875</v>
      </c>
      <c r="D114" s="44">
        <f>'Water foot print'!AV56</f>
        <v>3.245265486725657</v>
      </c>
      <c r="E114" s="28">
        <f t="shared" si="26"/>
        <v>11.139378895170921</v>
      </c>
      <c r="F114" s="28">
        <f t="shared" si="27"/>
        <v>3.7131262983903071</v>
      </c>
      <c r="G114" s="42" t="s">
        <v>33</v>
      </c>
      <c r="H114" s="28">
        <f>SQRT(J112/3)</f>
        <v>0.21695743905354609</v>
      </c>
      <c r="O114" s="30">
        <v>6</v>
      </c>
      <c r="P114" s="33">
        <f t="shared" si="30"/>
        <v>1.2062801235941456</v>
      </c>
      <c r="Q114" s="31">
        <f t="shared" si="31"/>
        <v>8</v>
      </c>
      <c r="R114" s="37">
        <v>1</v>
      </c>
    </row>
    <row r="115" spans="1:18" x14ac:dyDescent="0.25">
      <c r="A115" s="27" t="s">
        <v>49</v>
      </c>
      <c r="B115" s="44">
        <f>'Water foot print'!AT57</f>
        <v>1.3083273259744601</v>
      </c>
      <c r="C115" s="44">
        <f>'Water foot print'!AU57</f>
        <v>1.3489388513066842</v>
      </c>
      <c r="D115" s="44">
        <f>'Water foot print'!AV57</f>
        <v>1.0347452733280988</v>
      </c>
      <c r="E115" s="28">
        <f t="shared" si="26"/>
        <v>3.6920114506092432</v>
      </c>
      <c r="F115" s="28">
        <f t="shared" si="27"/>
        <v>1.2306704835364144</v>
      </c>
      <c r="G115" s="42" t="s">
        <v>37</v>
      </c>
      <c r="H115" s="28">
        <f>(SQRT((2*J112)/3))*L113</f>
        <v>0.62354169978732321</v>
      </c>
      <c r="O115" s="30">
        <v>7</v>
      </c>
      <c r="P115" s="33">
        <f t="shared" si="30"/>
        <v>1.2590500750869182</v>
      </c>
      <c r="Q115" s="31">
        <f t="shared" si="31"/>
        <v>6</v>
      </c>
      <c r="R115" s="37">
        <v>6</v>
      </c>
    </row>
    <row r="116" spans="1:18" x14ac:dyDescent="0.25">
      <c r="A116" s="27" t="s">
        <v>50</v>
      </c>
      <c r="B116" s="44">
        <f>'Water foot print'!AT58</f>
        <v>1.4491428571429879</v>
      </c>
      <c r="C116" s="44">
        <f>'Water foot print'!AU58</f>
        <v>1.544901098901164</v>
      </c>
      <c r="D116" s="44">
        <f>'Water foot print'!AV58</f>
        <v>1.4834973544975583</v>
      </c>
      <c r="E116" s="28">
        <f t="shared" si="26"/>
        <v>4.4775413105417101</v>
      </c>
      <c r="F116" s="28">
        <f t="shared" si="27"/>
        <v>1.49251377018057</v>
      </c>
      <c r="G116" s="42" t="s">
        <v>51</v>
      </c>
      <c r="H116" s="28">
        <f>((SQRT(J112))/F123)*100</f>
        <v>24.069347084026244</v>
      </c>
      <c r="O116" s="30">
        <v>8</v>
      </c>
      <c r="P116" s="33">
        <f t="shared" si="30"/>
        <v>1.223430218255146</v>
      </c>
      <c r="Q116" s="31">
        <f t="shared" si="31"/>
        <v>7</v>
      </c>
      <c r="R116" s="35">
        <v>4</v>
      </c>
    </row>
    <row r="117" spans="1:18" x14ac:dyDescent="0.25">
      <c r="A117" s="27" t="s">
        <v>52</v>
      </c>
      <c r="B117" s="44">
        <f>'Water foot print'!AT59</f>
        <v>1.1477625329816874</v>
      </c>
      <c r="C117" s="44">
        <f>'Water foot print'!AU59</f>
        <v>1.1451609197179096</v>
      </c>
      <c r="D117" s="44">
        <f>'Water foot print'!AV59</f>
        <v>1.2029999999999745</v>
      </c>
      <c r="E117" s="28">
        <f t="shared" si="26"/>
        <v>3.4959234526995715</v>
      </c>
      <c r="F117" s="28">
        <f t="shared" si="27"/>
        <v>1.1653078175665239</v>
      </c>
      <c r="O117" s="30">
        <v>9</v>
      </c>
      <c r="P117" s="33">
        <f t="shared" si="30"/>
        <v>0.98028108180072115</v>
      </c>
      <c r="Q117" s="31">
        <f t="shared" si="31"/>
        <v>9</v>
      </c>
      <c r="R117" s="37">
        <v>8</v>
      </c>
    </row>
    <row r="118" spans="1:18" x14ac:dyDescent="0.25">
      <c r="A118" s="27" t="s">
        <v>53</v>
      </c>
      <c r="B118" s="44">
        <f>'Water foot print'!AT60</f>
        <v>1.0543908045976877</v>
      </c>
      <c r="C118" s="44">
        <f>'Water foot print'!AU60</f>
        <v>0.87808510638296866</v>
      </c>
      <c r="D118" s="44">
        <f>'Water foot print'!AV60</f>
        <v>0.98377254641911804</v>
      </c>
      <c r="E118" s="28">
        <f t="shared" si="26"/>
        <v>2.9162484573997745</v>
      </c>
      <c r="F118" s="28">
        <f t="shared" si="27"/>
        <v>0.97208281913325811</v>
      </c>
      <c r="O118" s="25" t="s">
        <v>33</v>
      </c>
      <c r="P118" s="33">
        <f>SQRT(J112/(3*2))</f>
        <v>0.15341207638362953</v>
      </c>
      <c r="Q118" s="31"/>
    </row>
    <row r="119" spans="1:18" x14ac:dyDescent="0.25">
      <c r="A119" s="27" t="s">
        <v>55</v>
      </c>
      <c r="B119" s="44">
        <f>'Water foot print'!AT61</f>
        <v>0.96873838630824594</v>
      </c>
      <c r="C119" s="44">
        <f>'Water foot print'!AU61</f>
        <v>0.92146939747567558</v>
      </c>
      <c r="D119" s="44">
        <f>'Water foot print'!AV61</f>
        <v>0.86085185185186219</v>
      </c>
      <c r="E119" s="28">
        <f t="shared" si="26"/>
        <v>2.7510596356357837</v>
      </c>
      <c r="F119" s="28">
        <f t="shared" si="27"/>
        <v>0.91701987854526124</v>
      </c>
      <c r="N119" s="25" t="s">
        <v>41</v>
      </c>
      <c r="O119" s="25" t="s">
        <v>37</v>
      </c>
      <c r="P119" s="33">
        <f>SQRT((2*J112)/(3*2))*L113</f>
        <v>0.44091056427220271</v>
      </c>
      <c r="Q119" s="31"/>
    </row>
    <row r="120" spans="1:18" x14ac:dyDescent="0.25">
      <c r="A120" s="27" t="s">
        <v>56</v>
      </c>
      <c r="B120" s="44">
        <f>'Water foot print'!AT62</f>
        <v>1.429972602739781</v>
      </c>
      <c r="C120" s="44">
        <f>'Water foot print'!AU62</f>
        <v>0.97867689585962125</v>
      </c>
      <c r="D120" s="44">
        <f>'Water foot print'!AV62</f>
        <v>1.0825411764706132</v>
      </c>
      <c r="E120" s="28">
        <f t="shared" si="26"/>
        <v>3.4911906750700155</v>
      </c>
      <c r="F120" s="28">
        <f>E120/3</f>
        <v>1.1637302250233386</v>
      </c>
      <c r="Q120" s="31"/>
    </row>
    <row r="121" spans="1:18" x14ac:dyDescent="0.25">
      <c r="A121" s="27" t="s">
        <v>57</v>
      </c>
      <c r="B121" s="44">
        <f>'Water foot print'!AT63</f>
        <v>0.9938529750293128</v>
      </c>
      <c r="C121" s="44">
        <f>'Water foot print'!AU63</f>
        <v>1.0173964331155503</v>
      </c>
      <c r="D121" s="44">
        <f>'Water foot print'!AV63</f>
        <v>1.0746003886943072</v>
      </c>
      <c r="E121" s="28">
        <f t="shared" si="26"/>
        <v>3.0858497968391703</v>
      </c>
      <c r="F121" s="28">
        <f t="shared" ref="F121:F122" si="33">E121/3</f>
        <v>1.02861659894639</v>
      </c>
    </row>
    <row r="122" spans="1:18" x14ac:dyDescent="0.25">
      <c r="A122" s="27" t="s">
        <v>58</v>
      </c>
      <c r="B122" s="44">
        <f>'Water foot print'!AT64</f>
        <v>0.82038511038524575</v>
      </c>
      <c r="C122" s="44">
        <f>'Water foot print'!AU64</f>
        <v>0.6519706688657152</v>
      </c>
      <c r="D122" s="44">
        <f>'Water foot print'!AV64</f>
        <v>0.73979908680780682</v>
      </c>
      <c r="E122" s="28">
        <f t="shared" si="26"/>
        <v>2.2121548660587678</v>
      </c>
      <c r="F122" s="28">
        <f t="shared" si="33"/>
        <v>0.73738495535292259</v>
      </c>
    </row>
    <row r="123" spans="1:18" x14ac:dyDescent="0.25">
      <c r="A123" s="25" t="s">
        <v>20</v>
      </c>
      <c r="B123" s="28">
        <f>SUM(B105:B122)</f>
        <v>26.695941190189842</v>
      </c>
      <c r="C123" s="28">
        <f t="shared" ref="C123:D123" si="34">SUM(C105:C122)</f>
        <v>29.284254004920058</v>
      </c>
      <c r="D123" s="28">
        <f t="shared" si="34"/>
        <v>28.326996584049766</v>
      </c>
      <c r="E123" s="28">
        <f>SUM(E105:E122)</f>
        <v>84.307191779159666</v>
      </c>
      <c r="F123" s="28">
        <f>AVERAGE(B105:D122)</f>
        <v>1.5612442922066605</v>
      </c>
    </row>
    <row r="124" spans="1:18" x14ac:dyDescent="0.25">
      <c r="A124" s="25" t="s">
        <v>11</v>
      </c>
      <c r="B124" s="28">
        <f>B123/18</f>
        <v>1.4831078438994356</v>
      </c>
      <c r="C124" s="28">
        <f>C123/18</f>
        <v>1.6269030002733365</v>
      </c>
      <c r="D124" s="28">
        <f>D123/18</f>
        <v>1.5737220324472092</v>
      </c>
    </row>
    <row r="125" spans="1:18" x14ac:dyDescent="0.25">
      <c r="A125" s="25" t="s">
        <v>59</v>
      </c>
      <c r="B125" s="28">
        <f>(E123*E123)/54</f>
        <v>131.62412195718531</v>
      </c>
      <c r="C125" s="28"/>
      <c r="D125" s="28"/>
    </row>
    <row r="126" spans="1:18" x14ac:dyDescent="0.25">
      <c r="A126" s="25" t="s">
        <v>60</v>
      </c>
      <c r="B126" s="28">
        <f>SUMSQ(B105:D122)-B125</f>
        <v>36.679627087771649</v>
      </c>
      <c r="C126" s="25" t="s">
        <v>61</v>
      </c>
      <c r="D126" s="28">
        <f>(SUMSQ(B123:D123)/18)-B125</f>
        <v>0.19029716101016447</v>
      </c>
    </row>
    <row r="127" spans="1:18" x14ac:dyDescent="0.25">
      <c r="A127" s="25" t="s">
        <v>62</v>
      </c>
      <c r="B127" s="28">
        <f>(SUMSQ(E105:E122)/3)-B125</f>
        <v>31.688135829972822</v>
      </c>
      <c r="C127" s="25" t="s">
        <v>63</v>
      </c>
      <c r="D127" s="28">
        <f>B126-B127-D126</f>
        <v>4.801194096788663</v>
      </c>
    </row>
    <row r="131" spans="1:18" x14ac:dyDescent="0.25">
      <c r="C131" s="17"/>
    </row>
    <row r="132" spans="1:18" ht="15.75" x14ac:dyDescent="0.25">
      <c r="C132" s="18" t="s">
        <v>103</v>
      </c>
    </row>
    <row r="134" spans="1:18" x14ac:dyDescent="0.25">
      <c r="A134" s="19" t="s">
        <v>13</v>
      </c>
      <c r="B134" s="20">
        <v>2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2"/>
      <c r="N134" s="22"/>
      <c r="O134" s="21"/>
      <c r="P134" s="21"/>
    </row>
    <row r="135" spans="1:18" x14ac:dyDescent="0.25">
      <c r="A135" s="19" t="s">
        <v>14</v>
      </c>
      <c r="B135" s="20">
        <v>9</v>
      </c>
      <c r="C135" s="21" t="s">
        <v>15</v>
      </c>
      <c r="D135" s="21">
        <v>18</v>
      </c>
      <c r="E135" s="21"/>
      <c r="F135" s="21"/>
      <c r="G135" s="21"/>
      <c r="H135" s="21"/>
      <c r="I135" s="21"/>
      <c r="J135" s="21"/>
      <c r="K135" s="21"/>
      <c r="L135" s="21"/>
      <c r="M135" s="22"/>
      <c r="N135" s="22"/>
      <c r="O135" s="21"/>
      <c r="P135" s="21"/>
    </row>
    <row r="136" spans="1:18" x14ac:dyDescent="0.25">
      <c r="A136" s="15" t="s">
        <v>16</v>
      </c>
      <c r="B136" s="23">
        <v>3</v>
      </c>
    </row>
    <row r="137" spans="1:18" x14ac:dyDescent="0.25">
      <c r="A137" s="24" t="s">
        <v>0</v>
      </c>
      <c r="B137" s="25" t="s">
        <v>17</v>
      </c>
      <c r="C137" s="25" t="s">
        <v>18</v>
      </c>
      <c r="D137" s="25" t="s">
        <v>19</v>
      </c>
      <c r="E137" s="25" t="s">
        <v>20</v>
      </c>
      <c r="F137" s="25" t="s">
        <v>11</v>
      </c>
      <c r="O137" s="16" t="s">
        <v>21</v>
      </c>
    </row>
    <row r="138" spans="1:18" x14ac:dyDescent="0.25">
      <c r="A138" s="27" t="s">
        <v>22</v>
      </c>
      <c r="B138" s="7">
        <f>B41+B73+B105</f>
        <v>2994.0271320754719</v>
      </c>
      <c r="C138" s="7">
        <f t="shared" ref="C138:D138" si="35">C41+C73+C105</f>
        <v>3302.4491525423728</v>
      </c>
      <c r="D138" s="7">
        <f t="shared" si="35"/>
        <v>3975.0605194805203</v>
      </c>
      <c r="E138" s="28">
        <f t="shared" ref="E138:E155" si="36">SUM(B138:D138)</f>
        <v>10271.536804098365</v>
      </c>
      <c r="F138" s="28">
        <f>E138/3</f>
        <v>3423.8456013661216</v>
      </c>
      <c r="H138" s="29"/>
      <c r="I138" s="29"/>
      <c r="J138" s="29" t="s">
        <v>23</v>
      </c>
      <c r="K138" s="29"/>
      <c r="L138" s="29"/>
      <c r="M138" s="29"/>
      <c r="N138" s="29"/>
      <c r="O138" s="30">
        <v>1</v>
      </c>
      <c r="P138" s="28">
        <f>SUM(F138:F146)/9</f>
        <v>1742.5285574060081</v>
      </c>
      <c r="Q138" s="31">
        <f>RANK(P138,P$138:P$139,0)</f>
        <v>1</v>
      </c>
      <c r="R138" s="17">
        <v>1</v>
      </c>
    </row>
    <row r="139" spans="1:18" x14ac:dyDescent="0.25">
      <c r="A139" s="27" t="s">
        <v>24</v>
      </c>
      <c r="B139" s="7">
        <f t="shared" ref="B139:D139" si="37">B42+B74+B106</f>
        <v>1801.8134715025903</v>
      </c>
      <c r="C139" s="7">
        <f t="shared" si="37"/>
        <v>1757.6948075137491</v>
      </c>
      <c r="D139" s="7">
        <f t="shared" si="37"/>
        <v>1962.5303867403313</v>
      </c>
      <c r="E139" s="28">
        <f t="shared" si="36"/>
        <v>5522.0386657566705</v>
      </c>
      <c r="F139" s="28">
        <f t="shared" ref="F139:F152" si="38">E139/3</f>
        <v>1840.6795552522235</v>
      </c>
      <c r="G139" s="28"/>
      <c r="H139" s="25" t="s">
        <v>25</v>
      </c>
      <c r="I139" s="25" t="s">
        <v>26</v>
      </c>
      <c r="J139" s="25" t="s">
        <v>27</v>
      </c>
      <c r="K139" s="25" t="s">
        <v>28</v>
      </c>
      <c r="L139" s="25" t="s">
        <v>29</v>
      </c>
      <c r="M139" s="25" t="s">
        <v>30</v>
      </c>
      <c r="N139" s="32"/>
      <c r="O139" s="30">
        <v>2</v>
      </c>
      <c r="P139" s="28">
        <f>SUM(F147:F155)/9</f>
        <v>1380.0547294134628</v>
      </c>
      <c r="Q139" s="31">
        <f>RANK(P139,P$138:P$139,0)</f>
        <v>2</v>
      </c>
      <c r="R139" s="17">
        <v>2</v>
      </c>
    </row>
    <row r="140" spans="1:18" x14ac:dyDescent="0.25">
      <c r="A140" s="27" t="s">
        <v>31</v>
      </c>
      <c r="B140" s="7">
        <f t="shared" ref="B140:D140" si="39">B43+B75+B107</f>
        <v>1709.3547557840618</v>
      </c>
      <c r="C140" s="7">
        <f t="shared" si="39"/>
        <v>1497.0142180094783</v>
      </c>
      <c r="D140" s="7">
        <f t="shared" si="39"/>
        <v>1416.9661628282317</v>
      </c>
      <c r="E140" s="28">
        <f t="shared" si="36"/>
        <v>4623.3351366217721</v>
      </c>
      <c r="F140" s="28">
        <f t="shared" si="38"/>
        <v>1541.1117122072574</v>
      </c>
      <c r="G140" s="28" t="s">
        <v>32</v>
      </c>
      <c r="H140" s="28">
        <f>B136-1</f>
        <v>2</v>
      </c>
      <c r="I140" s="28">
        <f>D159</f>
        <v>155694.18997240067</v>
      </c>
      <c r="J140" s="28">
        <f>I140/H140</f>
        <v>77847.094986200333</v>
      </c>
      <c r="K140" s="28">
        <f>J140/$J$16</f>
        <v>156851775.86544639</v>
      </c>
      <c r="L140" s="28">
        <f>FINV(0.05,H140,$H$16)</f>
        <v>3.275897990672394</v>
      </c>
      <c r="M140" s="28" t="str">
        <f>IF(K140&gt;=L140, "S", "NS")</f>
        <v>S</v>
      </c>
      <c r="N140" s="21"/>
      <c r="O140" s="25" t="s">
        <v>33</v>
      </c>
      <c r="P140" s="33">
        <f>SQRT(J145/(3*9))</f>
        <v>67.845723372923146</v>
      </c>
    </row>
    <row r="141" spans="1:18" x14ac:dyDescent="0.25">
      <c r="A141" s="27" t="s">
        <v>34</v>
      </c>
      <c r="B141" s="7">
        <f t="shared" ref="B141:D141" si="40">B44+B76+B108</f>
        <v>1564.3540618401803</v>
      </c>
      <c r="C141" s="7">
        <f t="shared" si="40"/>
        <v>1608.8104563041275</v>
      </c>
      <c r="D141" s="7">
        <f t="shared" si="40"/>
        <v>1624.9396875617965</v>
      </c>
      <c r="E141" s="28">
        <f t="shared" si="36"/>
        <v>4798.104205706104</v>
      </c>
      <c r="F141" s="28">
        <f t="shared" si="38"/>
        <v>1599.3680685687013</v>
      </c>
      <c r="G141" s="28" t="s">
        <v>35</v>
      </c>
      <c r="H141" s="28">
        <f>D135-1</f>
        <v>17</v>
      </c>
      <c r="I141" s="28">
        <f>B160</f>
        <v>31697727.883248493</v>
      </c>
      <c r="J141" s="28">
        <f t="shared" ref="J141:J145" si="41">I141/H141</f>
        <v>1864572.2284263819</v>
      </c>
      <c r="K141" s="28">
        <f>J141/$J$16</f>
        <v>3756870636.0836501</v>
      </c>
      <c r="L141" s="28">
        <f>FINV(0.05,H141,$H$16)</f>
        <v>1.9332068318040869</v>
      </c>
      <c r="M141" s="34" t="str">
        <f t="shared" ref="M141" si="42">IF(K141&gt;=L141, "S", "NS")</f>
        <v>S</v>
      </c>
      <c r="N141" s="25" t="s">
        <v>36</v>
      </c>
      <c r="O141" s="25" t="s">
        <v>37</v>
      </c>
      <c r="P141" s="33">
        <f>SQRT((2*J145)/(3*9))*L146</f>
        <v>194.99049149825208</v>
      </c>
    </row>
    <row r="142" spans="1:18" x14ac:dyDescent="0.25">
      <c r="A142" s="27" t="s">
        <v>38</v>
      </c>
      <c r="B142" s="7">
        <f t="shared" ref="B142:D142" si="43">B45+B77+B109</f>
        <v>1724.7671232876714</v>
      </c>
      <c r="C142" s="7">
        <f t="shared" si="43"/>
        <v>1794.5882352941176</v>
      </c>
      <c r="D142" s="7">
        <f t="shared" si="43"/>
        <v>1839.9068603809988</v>
      </c>
      <c r="E142" s="28">
        <f t="shared" si="36"/>
        <v>5359.2622189627873</v>
      </c>
      <c r="F142" s="28">
        <f t="shared" si="38"/>
        <v>1786.4207396542624</v>
      </c>
      <c r="G142" s="28" t="s">
        <v>39</v>
      </c>
      <c r="H142" s="28">
        <f>B134-1</f>
        <v>1</v>
      </c>
      <c r="I142" s="28">
        <f>(SUM(E138:E146)^2+SUM(E147:E155)^2)/27-B158</f>
        <v>1773728.2257242054</v>
      </c>
      <c r="J142" s="28">
        <f t="shared" si="41"/>
        <v>1773728.2257242054</v>
      </c>
      <c r="K142" s="28">
        <f>J142/$J$16</f>
        <v>3573831780.8368659</v>
      </c>
      <c r="L142" s="28">
        <f>FINV(0.05,H142,$H$16)</f>
        <v>4.1300177456520188</v>
      </c>
      <c r="M142" s="28" t="str">
        <f>IF(K142&gt;=L142, "S", "NS")</f>
        <v>S</v>
      </c>
      <c r="N142" s="21"/>
      <c r="O142" s="30">
        <v>1</v>
      </c>
      <c r="P142" s="28">
        <f>(F138+F147)/2</f>
        <v>3568.505808901602</v>
      </c>
      <c r="Q142" s="31">
        <f>RANK(P142,P$142:P$150,0)</f>
        <v>1</v>
      </c>
      <c r="R142" s="35">
        <v>9</v>
      </c>
    </row>
    <row r="143" spans="1:18" x14ac:dyDescent="0.25">
      <c r="A143" s="27" t="s">
        <v>40</v>
      </c>
      <c r="B143" s="7">
        <f t="shared" ref="B143:D143" si="44">B46+B78+B110</f>
        <v>1445.0114942528737</v>
      </c>
      <c r="C143" s="7">
        <f t="shared" si="44"/>
        <v>1499.8363419861869</v>
      </c>
      <c r="D143" s="7">
        <f t="shared" si="44"/>
        <v>1541.7732696897378</v>
      </c>
      <c r="E143" s="28">
        <f t="shared" si="36"/>
        <v>4486.621105928798</v>
      </c>
      <c r="F143" s="28">
        <f t="shared" si="38"/>
        <v>1495.5403686429327</v>
      </c>
      <c r="G143" s="28" t="s">
        <v>41</v>
      </c>
      <c r="H143" s="28">
        <f>B135-1</f>
        <v>8</v>
      </c>
      <c r="I143" s="28">
        <f>((E138+E147)^2+(E139+E148)^2+(E140+E149)^2+(E141+E150)^2+(E142+E151)^2+(E143+E152)^2+(E144+E153)^2+(E145+E154)^2+(E146+E155)^2/6)-B158</f>
        <v>800901268.49954844</v>
      </c>
      <c r="J143" s="28">
        <f t="shared" si="41"/>
        <v>100112658.56244355</v>
      </c>
      <c r="K143" s="28">
        <f>J143/$J$16</f>
        <v>201713991831.21664</v>
      </c>
      <c r="L143" s="28">
        <f>FINV(0.05,H143,$H$16)</f>
        <v>2.2253399674380931</v>
      </c>
      <c r="M143" s="28" t="str">
        <f>IF(K143&gt;=L143, "S", "NS")</f>
        <v>S</v>
      </c>
      <c r="N143" s="21"/>
      <c r="O143" s="30">
        <v>2</v>
      </c>
      <c r="P143" s="28">
        <f t="shared" ref="P143:P150" si="45">(F139+F148)/2</f>
        <v>1535.6750193942489</v>
      </c>
      <c r="Q143" s="31">
        <f t="shared" ref="Q143:Q150" si="46">RANK(P143,P$142:P$150,0)</f>
        <v>2</v>
      </c>
      <c r="R143" s="37">
        <v>5</v>
      </c>
    </row>
    <row r="144" spans="1:18" x14ac:dyDescent="0.25">
      <c r="A144" s="27" t="s">
        <v>42</v>
      </c>
      <c r="B144" s="7">
        <f t="shared" ref="B144:D144" si="47">B47+B79+B111</f>
        <v>1246.3782837369606</v>
      </c>
      <c r="C144" s="7">
        <f t="shared" si="47"/>
        <v>1357.1951655155988</v>
      </c>
      <c r="D144" s="7">
        <f t="shared" si="47"/>
        <v>1459.5363261985865</v>
      </c>
      <c r="E144" s="28">
        <f t="shared" si="36"/>
        <v>4063.1097754511457</v>
      </c>
      <c r="F144" s="28">
        <f t="shared" si="38"/>
        <v>1354.369925150382</v>
      </c>
      <c r="G144" s="38" t="s">
        <v>43</v>
      </c>
      <c r="H144" s="28">
        <f>H142*H143</f>
        <v>8</v>
      </c>
      <c r="I144" s="28">
        <f>I141-(I142+I143)</f>
        <v>-770977268.84202421</v>
      </c>
      <c r="J144" s="28">
        <f t="shared" si="41"/>
        <v>-96372158.605253026</v>
      </c>
      <c r="K144" s="39">
        <f>J144/$J$16</f>
        <v>-194177370702.14349</v>
      </c>
      <c r="L144" s="28">
        <f>FINV(0.05,H144,$H$16)</f>
        <v>2.2253399674380931</v>
      </c>
      <c r="M144" s="28" t="str">
        <f t="shared" ref="M144" si="48">IF(K144&gt;=L144, "S", "NS")</f>
        <v>NS</v>
      </c>
      <c r="N144" s="21"/>
      <c r="O144" s="30">
        <v>3</v>
      </c>
      <c r="P144" s="28">
        <f t="shared" si="45"/>
        <v>1516.8127411938472</v>
      </c>
      <c r="Q144" s="31">
        <f t="shared" si="46"/>
        <v>3</v>
      </c>
      <c r="R144" s="37">
        <v>2</v>
      </c>
    </row>
    <row r="145" spans="1:18" x14ac:dyDescent="0.25">
      <c r="A145" s="27" t="s">
        <v>44</v>
      </c>
      <c r="B145" s="7">
        <f t="shared" ref="B145:D145" si="49">B48+B80+B112</f>
        <v>1377.4413345147882</v>
      </c>
      <c r="C145" s="7">
        <f t="shared" si="49"/>
        <v>1411.2521005336557</v>
      </c>
      <c r="D145" s="7">
        <f t="shared" si="49"/>
        <v>1466.038077642881</v>
      </c>
      <c r="E145" s="28">
        <f t="shared" si="36"/>
        <v>4254.7315126913254</v>
      </c>
      <c r="F145" s="28">
        <f t="shared" si="38"/>
        <v>1418.2438375637751</v>
      </c>
      <c r="G145" s="40" t="s">
        <v>45</v>
      </c>
      <c r="H145" s="28">
        <f>((B136-1)*(B134*B135-1))</f>
        <v>34</v>
      </c>
      <c r="I145" s="28">
        <f>D160</f>
        <v>4225592.7212356031</v>
      </c>
      <c r="J145" s="28">
        <f t="shared" si="41"/>
        <v>124282.13885987068</v>
      </c>
      <c r="O145" s="30">
        <v>4</v>
      </c>
      <c r="P145" s="28">
        <f t="shared" si="45"/>
        <v>1382.3379430675859</v>
      </c>
      <c r="Q145" s="31">
        <f t="shared" si="46"/>
        <v>4</v>
      </c>
      <c r="R145" s="37">
        <v>7</v>
      </c>
    </row>
    <row r="146" spans="1:18" x14ac:dyDescent="0.25">
      <c r="A146" s="27" t="s">
        <v>46</v>
      </c>
      <c r="B146" s="7">
        <f t="shared" ref="B146:D146" si="50">B49+B81+B113</f>
        <v>1122.0971267125115</v>
      </c>
      <c r="C146" s="7">
        <f t="shared" si="50"/>
        <v>1255.2667848863659</v>
      </c>
      <c r="D146" s="7">
        <f t="shared" si="50"/>
        <v>1292.1677131463678</v>
      </c>
      <c r="E146" s="28">
        <f t="shared" si="36"/>
        <v>3669.5316247452447</v>
      </c>
      <c r="F146" s="28">
        <f t="shared" si="38"/>
        <v>1223.1772082484149</v>
      </c>
      <c r="G146" s="39" t="s">
        <v>20</v>
      </c>
      <c r="H146" s="28">
        <f>SUM(H140:H145)-H141</f>
        <v>53</v>
      </c>
      <c r="I146" s="28">
        <f>B159</f>
        <v>36079014.794456497</v>
      </c>
      <c r="K146" s="28" t="s">
        <v>47</v>
      </c>
      <c r="L146" s="16">
        <f>TINV(0.05,34)</f>
        <v>2.0322445093177191</v>
      </c>
      <c r="O146" s="30">
        <v>5</v>
      </c>
      <c r="P146" s="28">
        <f t="shared" si="45"/>
        <v>1379.2517793937609</v>
      </c>
      <c r="Q146" s="31">
        <f t="shared" si="46"/>
        <v>5</v>
      </c>
      <c r="R146" s="35">
        <v>3</v>
      </c>
    </row>
    <row r="147" spans="1:18" x14ac:dyDescent="0.25">
      <c r="A147" s="27" t="s">
        <v>48</v>
      </c>
      <c r="B147" s="7">
        <f t="shared" ref="B147:D147" si="51">B50+B82+B114</f>
        <v>2680.5618867924532</v>
      </c>
      <c r="C147" s="7">
        <f t="shared" si="51"/>
        <v>5213.6706757931333</v>
      </c>
      <c r="D147" s="7">
        <f t="shared" si="51"/>
        <v>3245.2654867256633</v>
      </c>
      <c r="E147" s="28">
        <f t="shared" si="36"/>
        <v>11139.498049311249</v>
      </c>
      <c r="F147" s="28">
        <f t="shared" si="38"/>
        <v>3713.1660164370828</v>
      </c>
      <c r="G147" s="42" t="s">
        <v>33</v>
      </c>
      <c r="H147" s="28">
        <f>SQRT(J145/3)</f>
        <v>203.53717011876947</v>
      </c>
      <c r="O147" s="30">
        <v>6</v>
      </c>
      <c r="P147" s="28">
        <f t="shared" si="45"/>
        <v>1206.2801235940512</v>
      </c>
      <c r="Q147" s="31">
        <f t="shared" si="46"/>
        <v>8</v>
      </c>
      <c r="R147" s="37">
        <v>1</v>
      </c>
    </row>
    <row r="148" spans="1:18" x14ac:dyDescent="0.25">
      <c r="A148" s="27" t="s">
        <v>49</v>
      </c>
      <c r="B148" s="7">
        <f t="shared" ref="B148:D148" si="52">B51+B83+B115</f>
        <v>1308.3273259743187</v>
      </c>
      <c r="C148" s="7">
        <f t="shared" si="52"/>
        <v>1348.9388513065394</v>
      </c>
      <c r="D148" s="7">
        <f t="shared" si="52"/>
        <v>1034.7452733279661</v>
      </c>
      <c r="E148" s="28">
        <f t="shared" si="36"/>
        <v>3692.0114506088239</v>
      </c>
      <c r="F148" s="28">
        <f t="shared" si="38"/>
        <v>1230.6704835362746</v>
      </c>
      <c r="G148" s="42" t="s">
        <v>37</v>
      </c>
      <c r="H148" s="28">
        <f>(SQRT((2*J145)/3))*L146</f>
        <v>584.97147449475631</v>
      </c>
      <c r="O148" s="30">
        <v>7</v>
      </c>
      <c r="P148" s="28">
        <f t="shared" si="45"/>
        <v>1259.0500750868364</v>
      </c>
      <c r="Q148" s="31">
        <f t="shared" si="46"/>
        <v>6</v>
      </c>
      <c r="R148" s="37">
        <v>6</v>
      </c>
    </row>
    <row r="149" spans="1:18" x14ac:dyDescent="0.25">
      <c r="A149" s="27" t="s">
        <v>50</v>
      </c>
      <c r="B149" s="7">
        <f t="shared" ref="B149:D149" si="53">B52+B84+B116</f>
        <v>1449.1428571428569</v>
      </c>
      <c r="C149" s="7">
        <f t="shared" si="53"/>
        <v>1544.901098901099</v>
      </c>
      <c r="D149" s="7">
        <f t="shared" si="53"/>
        <v>1483.4973544973548</v>
      </c>
      <c r="E149" s="28">
        <f t="shared" si="36"/>
        <v>4477.5413105413108</v>
      </c>
      <c r="F149" s="28">
        <f t="shared" si="38"/>
        <v>1492.5137701804369</v>
      </c>
      <c r="G149" s="42" t="s">
        <v>51</v>
      </c>
      <c r="H149" s="28">
        <f>((SQRT(J145))/F156)*100</f>
        <v>22.579812129435776</v>
      </c>
      <c r="O149" s="30">
        <v>8</v>
      </c>
      <c r="P149" s="28">
        <f t="shared" si="45"/>
        <v>1223.4302182550498</v>
      </c>
      <c r="Q149" s="31">
        <f t="shared" si="46"/>
        <v>7</v>
      </c>
      <c r="R149" s="35">
        <v>4</v>
      </c>
    </row>
    <row r="150" spans="1:18" x14ac:dyDescent="0.25">
      <c r="A150" s="27" t="s">
        <v>52</v>
      </c>
      <c r="B150" s="7">
        <f t="shared" ref="B150:D150" si="54">B53+B85+B117</f>
        <v>1147.7625329815305</v>
      </c>
      <c r="C150" s="7">
        <f t="shared" si="54"/>
        <v>1145.1609197178818</v>
      </c>
      <c r="D150" s="7">
        <f t="shared" si="54"/>
        <v>1203</v>
      </c>
      <c r="E150" s="28">
        <f t="shared" si="36"/>
        <v>3495.9234526994123</v>
      </c>
      <c r="F150" s="28">
        <f t="shared" si="38"/>
        <v>1165.3078175664707</v>
      </c>
      <c r="O150" s="30">
        <v>9</v>
      </c>
      <c r="P150" s="28">
        <f t="shared" si="45"/>
        <v>980.28108180063577</v>
      </c>
      <c r="Q150" s="31">
        <f t="shared" si="46"/>
        <v>9</v>
      </c>
      <c r="R150" s="37">
        <v>8</v>
      </c>
    </row>
    <row r="151" spans="1:18" x14ac:dyDescent="0.25">
      <c r="A151" s="27" t="s">
        <v>53</v>
      </c>
      <c r="B151" s="7">
        <f t="shared" ref="B151:D151" si="55">B54+B86+B118</f>
        <v>1054.3908045977016</v>
      </c>
      <c r="C151" s="7">
        <f t="shared" si="55"/>
        <v>878.08510638297844</v>
      </c>
      <c r="D151" s="7">
        <f t="shared" si="55"/>
        <v>983.77254641909781</v>
      </c>
      <c r="E151" s="28">
        <f t="shared" si="36"/>
        <v>2916.2484573997781</v>
      </c>
      <c r="F151" s="28">
        <f t="shared" si="38"/>
        <v>972.08281913325936</v>
      </c>
      <c r="O151" s="25" t="s">
        <v>33</v>
      </c>
      <c r="P151" s="33">
        <f>SQRT(J145/(3*2))</f>
        <v>143.92251321450181</v>
      </c>
      <c r="Q151" s="31"/>
    </row>
    <row r="152" spans="1:18" x14ac:dyDescent="0.25">
      <c r="A152" s="27" t="s">
        <v>55</v>
      </c>
      <c r="B152" s="7">
        <f t="shared" ref="B152:D152" si="56">B55+B87+B119</f>
        <v>968.73838630806858</v>
      </c>
      <c r="C152" s="7">
        <f t="shared" si="56"/>
        <v>921.46939747558974</v>
      </c>
      <c r="D152" s="7">
        <f t="shared" si="56"/>
        <v>860.85185185185173</v>
      </c>
      <c r="E152" s="28">
        <f t="shared" si="36"/>
        <v>2751.0596356355099</v>
      </c>
      <c r="F152" s="28">
        <f t="shared" si="38"/>
        <v>917.01987854516995</v>
      </c>
      <c r="N152" s="25" t="s">
        <v>41</v>
      </c>
      <c r="O152" s="25" t="s">
        <v>37</v>
      </c>
      <c r="P152" s="33">
        <f>SQRT((2*J145)/(3*2))*L146</f>
        <v>413.63729641593574</v>
      </c>
      <c r="Q152" s="31"/>
    </row>
    <row r="153" spans="1:18" x14ac:dyDescent="0.25">
      <c r="A153" s="27" t="s">
        <v>56</v>
      </c>
      <c r="B153" s="7">
        <f t="shared" ref="B153:D153" si="57">B56+B88+B120</f>
        <v>1429.9726027397262</v>
      </c>
      <c r="C153" s="7">
        <f t="shared" si="57"/>
        <v>978.67689585955816</v>
      </c>
      <c r="D153" s="7">
        <f t="shared" si="57"/>
        <v>1082.5411764705884</v>
      </c>
      <c r="E153" s="28">
        <f t="shared" si="36"/>
        <v>3491.1906750698727</v>
      </c>
      <c r="F153" s="28">
        <f>E153/3</f>
        <v>1163.7302250232908</v>
      </c>
      <c r="Q153" s="31"/>
    </row>
    <row r="154" spans="1:18" x14ac:dyDescent="0.25">
      <c r="A154" s="27" t="s">
        <v>57</v>
      </c>
      <c r="B154" s="7">
        <f t="shared" ref="B154:D154" si="58">B57+B89+B121</f>
        <v>993.85297502917274</v>
      </c>
      <c r="C154" s="7">
        <f t="shared" si="58"/>
        <v>1017.3964331155252</v>
      </c>
      <c r="D154" s="7">
        <f t="shared" si="58"/>
        <v>1074.6003886942756</v>
      </c>
      <c r="E154" s="28">
        <f t="shared" si="36"/>
        <v>3085.8497968389738</v>
      </c>
      <c r="F154" s="28">
        <f t="shared" ref="F154:F155" si="59">E154/3</f>
        <v>1028.6165989463245</v>
      </c>
    </row>
    <row r="155" spans="1:18" x14ac:dyDescent="0.25">
      <c r="A155" s="27" t="s">
        <v>58</v>
      </c>
      <c r="B155" s="7">
        <f t="shared" ref="B155:D155" si="60">B58+B90+B122</f>
        <v>820.38511038511024</v>
      </c>
      <c r="C155" s="7">
        <f t="shared" si="60"/>
        <v>651.97066886565017</v>
      </c>
      <c r="D155" s="7">
        <f t="shared" si="60"/>
        <v>739.7990868078092</v>
      </c>
      <c r="E155" s="28">
        <f t="shared" si="36"/>
        <v>2212.1548660585695</v>
      </c>
      <c r="F155" s="28">
        <f t="shared" si="59"/>
        <v>737.38495535285654</v>
      </c>
    </row>
    <row r="156" spans="1:18" x14ac:dyDescent="0.25">
      <c r="A156" s="25" t="s">
        <v>20</v>
      </c>
      <c r="B156" s="28">
        <f>SUM(B138:B155)</f>
        <v>26838.379265658055</v>
      </c>
      <c r="C156" s="28">
        <f>SUM(C138:C155)</f>
        <v>29184.377310003609</v>
      </c>
      <c r="D156" s="28">
        <f>SUM(D138:D155)</f>
        <v>28286.992168464061</v>
      </c>
      <c r="E156" s="28">
        <f>SUM(E138:E155)</f>
        <v>84309.748744125696</v>
      </c>
      <c r="F156" s="28">
        <f>AVERAGE(B138:D155)</f>
        <v>1561.2916434097353</v>
      </c>
    </row>
    <row r="157" spans="1:18" x14ac:dyDescent="0.25">
      <c r="A157" s="25" t="s">
        <v>11</v>
      </c>
      <c r="B157" s="28">
        <f>B156/18</f>
        <v>1491.0210703143364</v>
      </c>
      <c r="C157" s="28">
        <f>C156/18</f>
        <v>1621.3542950002004</v>
      </c>
      <c r="D157" s="28">
        <f>D156/18</f>
        <v>1571.4995649146701</v>
      </c>
    </row>
    <row r="158" spans="1:18" x14ac:dyDescent="0.25">
      <c r="A158" s="25" t="s">
        <v>59</v>
      </c>
      <c r="B158" s="28">
        <f>(E156*E156)/54</f>
        <v>131632106.17217787</v>
      </c>
      <c r="C158" s="28"/>
      <c r="D158" s="28"/>
    </row>
    <row r="159" spans="1:18" x14ac:dyDescent="0.25">
      <c r="A159" s="25" t="s">
        <v>60</v>
      </c>
      <c r="B159" s="28">
        <f>SUMSQ(B138:D155)-B158</f>
        <v>36079014.794456497</v>
      </c>
      <c r="C159" s="25" t="s">
        <v>61</v>
      </c>
      <c r="D159" s="28">
        <f>(SUMSQ(B156:D156)/18)-B158</f>
        <v>155694.18997240067</v>
      </c>
    </row>
    <row r="160" spans="1:18" x14ac:dyDescent="0.25">
      <c r="A160" s="25" t="s">
        <v>62</v>
      </c>
      <c r="B160" s="28">
        <f>(SUMSQ(E138:E155)/3)-B158</f>
        <v>31697727.883248493</v>
      </c>
      <c r="C160" s="25" t="s">
        <v>63</v>
      </c>
      <c r="D160" s="28">
        <f>B159-B160-D159</f>
        <v>4225592.7212356031</v>
      </c>
    </row>
    <row r="166" spans="1:28" ht="18.75" x14ac:dyDescent="0.3">
      <c r="C166" s="53">
        <v>2020</v>
      </c>
    </row>
    <row r="167" spans="1:28" ht="15.75" x14ac:dyDescent="0.25">
      <c r="C167" s="50" t="s">
        <v>98</v>
      </c>
    </row>
    <row r="169" spans="1:28" x14ac:dyDescent="0.25">
      <c r="A169" s="19" t="s">
        <v>13</v>
      </c>
      <c r="B169" s="20">
        <v>2</v>
      </c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2"/>
      <c r="N169" s="22"/>
      <c r="O169" s="21"/>
      <c r="P169" s="21"/>
    </row>
    <row r="170" spans="1:28" x14ac:dyDescent="0.25">
      <c r="A170" s="19" t="s">
        <v>14</v>
      </c>
      <c r="B170" s="20">
        <v>9</v>
      </c>
      <c r="C170" s="21" t="s">
        <v>15</v>
      </c>
      <c r="D170" s="21">
        <v>18</v>
      </c>
      <c r="E170" s="21"/>
      <c r="F170" s="21"/>
      <c r="G170" s="21"/>
      <c r="H170" s="21"/>
      <c r="I170" s="21"/>
      <c r="J170" s="21"/>
      <c r="K170" s="21"/>
      <c r="L170" s="21"/>
      <c r="M170" s="22"/>
      <c r="N170" s="22"/>
      <c r="O170" s="21"/>
      <c r="P170" s="21"/>
    </row>
    <row r="171" spans="1:28" x14ac:dyDescent="0.25">
      <c r="A171" s="15" t="s">
        <v>16</v>
      </c>
      <c r="B171" s="23">
        <v>3</v>
      </c>
    </row>
    <row r="172" spans="1:28" x14ac:dyDescent="0.25">
      <c r="A172" s="24" t="s">
        <v>0</v>
      </c>
      <c r="B172" s="25" t="s">
        <v>17</v>
      </c>
      <c r="C172" s="25" t="s">
        <v>18</v>
      </c>
      <c r="D172" s="25" t="s">
        <v>19</v>
      </c>
      <c r="E172" s="25" t="s">
        <v>20</v>
      </c>
      <c r="F172" s="25" t="s">
        <v>11</v>
      </c>
      <c r="O172" s="16" t="s">
        <v>21</v>
      </c>
      <c r="S172" s="26"/>
      <c r="T172" s="26"/>
      <c r="U172" s="26"/>
    </row>
    <row r="173" spans="1:28" x14ac:dyDescent="0.25">
      <c r="A173" s="27" t="s">
        <v>22</v>
      </c>
      <c r="B173" s="7">
        <f>'Water foot print'!Q57</f>
        <v>0.20981789390340463</v>
      </c>
      <c r="C173" s="7">
        <f>'Water foot print'!R57</f>
        <v>0.17260490894695174</v>
      </c>
      <c r="D173" s="7">
        <f>'Water foot print'!S57</f>
        <v>0.18653998416468728</v>
      </c>
      <c r="E173" s="28">
        <f t="shared" ref="E173:E190" si="61">SUM(B173:D173)</f>
        <v>0.56896278701504366</v>
      </c>
      <c r="F173" s="28">
        <f>E173/3</f>
        <v>0.1896542623383479</v>
      </c>
      <c r="H173" s="29"/>
      <c r="I173" s="29"/>
      <c r="J173" s="29" t="s">
        <v>23</v>
      </c>
      <c r="K173" s="29"/>
      <c r="L173" s="29"/>
      <c r="M173" s="29"/>
      <c r="N173" s="29"/>
      <c r="O173" s="30">
        <v>1</v>
      </c>
      <c r="P173" s="33">
        <f>SUM(F173:F181)/9</f>
        <v>0.35787854229693061</v>
      </c>
      <c r="Q173" s="31">
        <f>RANK(P173,P$173:P$174,0)</f>
        <v>2</v>
      </c>
      <c r="S173" s="24" t="s">
        <v>0</v>
      </c>
      <c r="T173" s="25" t="s">
        <v>17</v>
      </c>
      <c r="U173" s="25" t="s">
        <v>18</v>
      </c>
      <c r="V173" s="25" t="s">
        <v>19</v>
      </c>
    </row>
    <row r="174" spans="1:28" x14ac:dyDescent="0.25">
      <c r="A174" s="27" t="s">
        <v>24</v>
      </c>
      <c r="B174" s="7">
        <f>'Water foot print'!Q58</f>
        <v>0.32640264026402638</v>
      </c>
      <c r="C174" s="7">
        <f>'Water foot print'!R58</f>
        <v>0.35973597359735976</v>
      </c>
      <c r="D174" s="7">
        <f>'Water foot print'!S58</f>
        <v>0.36716171617161714</v>
      </c>
      <c r="E174" s="28">
        <f t="shared" si="61"/>
        <v>1.0533003300330033</v>
      </c>
      <c r="F174" s="28">
        <f t="shared" ref="F174:F187" si="62">E174/3</f>
        <v>0.35110011001100111</v>
      </c>
      <c r="G174" s="28"/>
      <c r="H174" s="25" t="s">
        <v>25</v>
      </c>
      <c r="I174" s="25" t="s">
        <v>26</v>
      </c>
      <c r="J174" s="25" t="s">
        <v>27</v>
      </c>
      <c r="K174" s="25" t="s">
        <v>28</v>
      </c>
      <c r="L174" s="25" t="s">
        <v>29</v>
      </c>
      <c r="M174" s="25" t="s">
        <v>30</v>
      </c>
      <c r="N174" s="32"/>
      <c r="O174" s="30">
        <v>2</v>
      </c>
      <c r="P174" s="33">
        <f>SUM(F182:F190)/9</f>
        <v>0.41938401184619228</v>
      </c>
      <c r="Q174" s="31">
        <f>RANK(P174,P$173:P$174,0)</f>
        <v>1</v>
      </c>
      <c r="S174" s="27" t="s">
        <v>22</v>
      </c>
      <c r="T174" s="9">
        <f>B173*100</f>
        <v>20.981789390340463</v>
      </c>
      <c r="U174" s="9">
        <f t="shared" ref="U174:U191" si="63">C173*100</f>
        <v>17.260490894695174</v>
      </c>
      <c r="V174" s="9">
        <f t="shared" ref="V174:V191" si="64">D173*100</f>
        <v>18.653998416468728</v>
      </c>
      <c r="X174" s="55"/>
      <c r="Y174" s="55" t="s">
        <v>88</v>
      </c>
    </row>
    <row r="175" spans="1:28" x14ac:dyDescent="0.25">
      <c r="A175" s="27" t="s">
        <v>31</v>
      </c>
      <c r="B175" s="7">
        <f>'Water foot print'!Q59</f>
        <v>0.41078838174273857</v>
      </c>
      <c r="C175" s="7">
        <f>'Water foot print'!R59</f>
        <v>0.40331950207468881</v>
      </c>
      <c r="D175" s="7">
        <f>'Water foot print'!S59</f>
        <v>0.38589211618257263</v>
      </c>
      <c r="E175" s="28">
        <f t="shared" si="61"/>
        <v>1.2</v>
      </c>
      <c r="F175" s="28">
        <f t="shared" si="62"/>
        <v>0.39999999999999997</v>
      </c>
      <c r="G175" s="28" t="s">
        <v>32</v>
      </c>
      <c r="H175" s="28">
        <f>B171-1</f>
        <v>2</v>
      </c>
      <c r="I175" s="28">
        <f>D194</f>
        <v>5.6299620603184053E-4</v>
      </c>
      <c r="J175" s="28">
        <f>I175/H175</f>
        <v>2.8149810301592026E-4</v>
      </c>
      <c r="K175" s="28">
        <f>J175/$J$16</f>
        <v>0.56718208134328441</v>
      </c>
      <c r="L175" s="28">
        <f>FINV(0.05,H175,$H$16)</f>
        <v>3.275897990672394</v>
      </c>
      <c r="M175" s="28" t="str">
        <f>IF(K175&gt;=L175, "S", "NS")</f>
        <v>NS</v>
      </c>
      <c r="N175" s="21"/>
      <c r="O175" s="25" t="s">
        <v>33</v>
      </c>
      <c r="P175" s="33">
        <f>SQRT(J180/(3*9))</f>
        <v>4.8850352615975373E-3</v>
      </c>
      <c r="S175" s="27" t="s">
        <v>24</v>
      </c>
      <c r="T175" s="9">
        <f t="shared" ref="T175:T191" si="65">B174*100</f>
        <v>32.64026402640264</v>
      </c>
      <c r="U175" s="9">
        <f t="shared" si="63"/>
        <v>35.973597359735976</v>
      </c>
      <c r="V175" s="9">
        <f t="shared" si="64"/>
        <v>36.716171617161713</v>
      </c>
      <c r="X175" s="27" t="s">
        <v>89</v>
      </c>
      <c r="Y175" s="56">
        <v>0</v>
      </c>
      <c r="AB175" s="52">
        <f>(T175-T174)/Y176</f>
        <v>7.7723164240414519E-2</v>
      </c>
    </row>
    <row r="176" spans="1:28" x14ac:dyDescent="0.25">
      <c r="A176" s="27" t="s">
        <v>34</v>
      </c>
      <c r="B176" s="7">
        <f>'Water foot print'!Q60</f>
        <v>0.33333333333333331</v>
      </c>
      <c r="C176" s="7">
        <f>'Water foot print'!R60</f>
        <v>0.32744107744107742</v>
      </c>
      <c r="D176" s="7">
        <f>'Water foot print'!S60</f>
        <v>0.30976430976430974</v>
      </c>
      <c r="E176" s="28">
        <f t="shared" si="61"/>
        <v>0.97053872053872037</v>
      </c>
      <c r="F176" s="28">
        <f t="shared" si="62"/>
        <v>0.32351290684624012</v>
      </c>
      <c r="G176" s="28" t="s">
        <v>35</v>
      </c>
      <c r="H176" s="28">
        <f>D170-1</f>
        <v>17</v>
      </c>
      <c r="I176" s="28">
        <f>B195</f>
        <v>0.44168534498131251</v>
      </c>
      <c r="J176" s="28">
        <f t="shared" ref="J176:J180" si="66">I176/H176</f>
        <v>2.5981490881253677E-2</v>
      </c>
      <c r="K176" s="28">
        <f>J176/$J$16</f>
        <v>52.349326395274538</v>
      </c>
      <c r="L176" s="28">
        <f>FINV(0.05,H176,$H$16)</f>
        <v>1.9332068318040869</v>
      </c>
      <c r="M176" s="34" t="str">
        <f t="shared" ref="M176" si="67">IF(K176&gt;=L176, "S", "NS")</f>
        <v>S</v>
      </c>
      <c r="N176" s="25" t="s">
        <v>36</v>
      </c>
      <c r="O176" s="25" t="s">
        <v>37</v>
      </c>
      <c r="P176" s="33">
        <f>SQRT((2*J180)/(3*9))*L181</f>
        <v>1.4039726887566033E-2</v>
      </c>
      <c r="S176" s="27" t="s">
        <v>31</v>
      </c>
      <c r="T176" s="9">
        <f t="shared" si="65"/>
        <v>41.078838174273855</v>
      </c>
      <c r="U176" s="9">
        <f t="shared" si="63"/>
        <v>40.331950207468878</v>
      </c>
      <c r="V176" s="9">
        <f t="shared" si="64"/>
        <v>38.589211618257266</v>
      </c>
      <c r="X176" s="27" t="s">
        <v>90</v>
      </c>
      <c r="Y176" s="56">
        <v>150</v>
      </c>
    </row>
    <row r="177" spans="1:25" x14ac:dyDescent="0.25">
      <c r="A177" s="27" t="s">
        <v>38</v>
      </c>
      <c r="B177" s="7">
        <f>'Water foot print'!Q61</f>
        <v>0.39811643835616439</v>
      </c>
      <c r="C177" s="7">
        <f>'Water foot print'!R61</f>
        <v>0.41866438356164382</v>
      </c>
      <c r="D177" s="7">
        <f>'Water foot print'!S61</f>
        <v>0.3904109589041096</v>
      </c>
      <c r="E177" s="28">
        <f t="shared" si="61"/>
        <v>1.2071917808219177</v>
      </c>
      <c r="F177" s="28">
        <f t="shared" si="62"/>
        <v>0.40239726027397255</v>
      </c>
      <c r="G177" s="28" t="s">
        <v>39</v>
      </c>
      <c r="H177" s="28">
        <f>B169-1</f>
        <v>1</v>
      </c>
      <c r="I177" s="28">
        <f>(SUM(E173:E181)^2+SUM(E182:E190)^2)/27-B193</f>
        <v>5.1069457590415368E-2</v>
      </c>
      <c r="J177" s="28">
        <f t="shared" si="66"/>
        <v>5.1069457590415368E-2</v>
      </c>
      <c r="K177" s="28">
        <f>J177/$J$16</f>
        <v>102.89831774662515</v>
      </c>
      <c r="L177" s="28">
        <f>FINV(0.05,H177,$H$16)</f>
        <v>4.1300177456520188</v>
      </c>
      <c r="M177" s="28" t="str">
        <f>IF(K177&gt;=L177, "S", "NS")</f>
        <v>S</v>
      </c>
      <c r="N177" s="21"/>
      <c r="O177" s="30">
        <v>1</v>
      </c>
      <c r="P177" s="33">
        <f>(F173+F182)/2</f>
        <v>0.19967561601765882</v>
      </c>
      <c r="Q177" s="31">
        <f>RANK(P177,P$177:P$185,0)</f>
        <v>9</v>
      </c>
      <c r="R177" s="35">
        <v>9</v>
      </c>
      <c r="S177" s="27" t="s">
        <v>34</v>
      </c>
      <c r="T177" s="9">
        <f t="shared" si="65"/>
        <v>33.333333333333329</v>
      </c>
      <c r="U177" s="9">
        <f t="shared" si="63"/>
        <v>32.744107744107744</v>
      </c>
      <c r="V177" s="9">
        <f t="shared" si="64"/>
        <v>30.976430976430976</v>
      </c>
      <c r="X177" s="27" t="s">
        <v>91</v>
      </c>
      <c r="Y177" s="56">
        <v>187.5</v>
      </c>
    </row>
    <row r="178" spans="1:25" x14ac:dyDescent="0.25">
      <c r="A178" s="27" t="s">
        <v>40</v>
      </c>
      <c r="B178" s="7">
        <f>'Water foot print'!Q62</f>
        <v>0.48523985239852396</v>
      </c>
      <c r="C178" s="7">
        <f>'Water foot print'!R62</f>
        <v>0.46863468634686345</v>
      </c>
      <c r="D178" s="7">
        <f>'Water foot print'!S62</f>
        <v>0.4511070110701107</v>
      </c>
      <c r="E178" s="28">
        <f t="shared" si="61"/>
        <v>1.4049815498154981</v>
      </c>
      <c r="F178" s="28">
        <f t="shared" si="62"/>
        <v>0.4683271832718327</v>
      </c>
      <c r="G178" s="28" t="s">
        <v>41</v>
      </c>
      <c r="H178" s="28">
        <f>B170-1</f>
        <v>8</v>
      </c>
      <c r="I178" s="28">
        <f>((E173+E182)^2+(E174+E183)^2+(E175+E184)^2+(E176+E185)^2+(E177+E186)^2+(E178+E187)^2+(E179+E188)^2+(E180+E189)^2+(E181+E190)^2/6)-B193</f>
        <v>38.515322105886447</v>
      </c>
      <c r="J178" s="28">
        <f t="shared" si="66"/>
        <v>4.8144152632358059</v>
      </c>
      <c r="K178" s="28">
        <f>J178/$J$16</f>
        <v>9700.4208561168452</v>
      </c>
      <c r="L178" s="28">
        <f>FINV(0.05,H178,$H$16)</f>
        <v>2.2253399674380931</v>
      </c>
      <c r="M178" s="28" t="str">
        <f>IF(K178&gt;=L178, "S", "NS")</f>
        <v>S</v>
      </c>
      <c r="N178" s="21"/>
      <c r="O178" s="30">
        <v>2</v>
      </c>
      <c r="P178" s="33">
        <f t="shared" ref="P178:P185" si="68">(F174+F183)/2</f>
        <v>0.35457978896481201</v>
      </c>
      <c r="Q178" s="31">
        <f t="shared" ref="Q178:Q185" si="69">RANK(P178,P$177:P$185,0)</f>
        <v>7</v>
      </c>
      <c r="R178" s="37">
        <v>5</v>
      </c>
      <c r="S178" s="27" t="s">
        <v>38</v>
      </c>
      <c r="T178" s="9">
        <f t="shared" si="65"/>
        <v>39.811643835616437</v>
      </c>
      <c r="U178" s="9">
        <f t="shared" si="63"/>
        <v>41.86643835616438</v>
      </c>
      <c r="V178" s="9">
        <f t="shared" si="64"/>
        <v>39.041095890410958</v>
      </c>
      <c r="X178" s="27" t="s">
        <v>92</v>
      </c>
      <c r="Y178" s="56">
        <v>71.599999999999994</v>
      </c>
    </row>
    <row r="179" spans="1:25" x14ac:dyDescent="0.25">
      <c r="A179" s="27" t="s">
        <v>42</v>
      </c>
      <c r="B179" s="7">
        <f>'Water foot print'!Q63</f>
        <v>0.3497363796133568</v>
      </c>
      <c r="C179" s="7">
        <f>'Water foot print'!R63</f>
        <v>0.34622144112478037</v>
      </c>
      <c r="D179" s="7">
        <f>'Water foot print'!S63</f>
        <v>0.35852372583479791</v>
      </c>
      <c r="E179" s="28">
        <f t="shared" si="61"/>
        <v>1.0544815465729351</v>
      </c>
      <c r="F179" s="28">
        <f t="shared" si="62"/>
        <v>0.35149384885764506</v>
      </c>
      <c r="G179" s="38" t="s">
        <v>43</v>
      </c>
      <c r="H179" s="28">
        <f>H177*H178</f>
        <v>8</v>
      </c>
      <c r="I179" s="28">
        <f>I176-(I177+I178)</f>
        <v>-38.124706218495547</v>
      </c>
      <c r="J179" s="28">
        <f t="shared" si="66"/>
        <v>-4.7655882773119433</v>
      </c>
      <c r="K179" s="39">
        <f>J179/$J$16</f>
        <v>-9602.0408272452132</v>
      </c>
      <c r="L179" s="28">
        <f>FINV(0.05,H179,$H$16)</f>
        <v>2.2253399674380931</v>
      </c>
      <c r="M179" s="28" t="str">
        <f t="shared" ref="M179" si="70">IF(K179&gt;=L179, "S", "NS")</f>
        <v>NS</v>
      </c>
      <c r="N179" s="21"/>
      <c r="O179" s="30">
        <v>3</v>
      </c>
      <c r="P179" s="33">
        <f t="shared" si="68"/>
        <v>0.43403732809430251</v>
      </c>
      <c r="Q179" s="31">
        <f t="shared" si="69"/>
        <v>3</v>
      </c>
      <c r="R179" s="37">
        <v>2</v>
      </c>
      <c r="S179" s="27" t="s">
        <v>40</v>
      </c>
      <c r="T179" s="9">
        <f t="shared" si="65"/>
        <v>48.523985239852394</v>
      </c>
      <c r="U179" s="9">
        <f t="shared" si="63"/>
        <v>46.863468634686342</v>
      </c>
      <c r="V179" s="9">
        <f t="shared" si="64"/>
        <v>45.110701107011067</v>
      </c>
      <c r="X179" s="27" t="s">
        <v>93</v>
      </c>
      <c r="Y179" s="56">
        <f>150+AA179</f>
        <v>150</v>
      </c>
    </row>
    <row r="180" spans="1:25" x14ac:dyDescent="0.25">
      <c r="A180" s="27" t="s">
        <v>44</v>
      </c>
      <c r="B180" s="7">
        <f>'Water foot print'!Q64</f>
        <v>0.39892665474060818</v>
      </c>
      <c r="C180" s="7">
        <f>'Water foot print'!R64</f>
        <v>0.39177101967799638</v>
      </c>
      <c r="D180" s="7">
        <f>'Water foot print'!S64</f>
        <v>0.38282647584973162</v>
      </c>
      <c r="E180" s="28">
        <f t="shared" si="61"/>
        <v>1.173524150268336</v>
      </c>
      <c r="F180" s="28">
        <f t="shared" si="62"/>
        <v>0.39117471675611198</v>
      </c>
      <c r="G180" s="40" t="s">
        <v>45</v>
      </c>
      <c r="H180" s="28">
        <f>((B171-1)*(B169*B170-1))</f>
        <v>34</v>
      </c>
      <c r="I180" s="28">
        <f>D195</f>
        <v>2.1906756807473116E-2</v>
      </c>
      <c r="J180" s="28">
        <f t="shared" si="66"/>
        <v>6.4431637669038573E-4</v>
      </c>
      <c r="O180" s="30">
        <v>4</v>
      </c>
      <c r="P180" s="33">
        <f t="shared" si="68"/>
        <v>0.34794263960930627</v>
      </c>
      <c r="Q180" s="31">
        <f t="shared" si="69"/>
        <v>8</v>
      </c>
      <c r="R180" s="37">
        <v>7</v>
      </c>
      <c r="S180" s="27" t="s">
        <v>42</v>
      </c>
      <c r="T180" s="9">
        <f t="shared" si="65"/>
        <v>34.973637961335683</v>
      </c>
      <c r="U180" s="9">
        <f t="shared" si="63"/>
        <v>34.62214411247804</v>
      </c>
      <c r="V180" s="9">
        <f t="shared" si="64"/>
        <v>35.852372583479792</v>
      </c>
      <c r="X180" s="27" t="s">
        <v>94</v>
      </c>
      <c r="Y180" s="56">
        <f>150+AA179+20</f>
        <v>170</v>
      </c>
    </row>
    <row r="181" spans="1:25" x14ac:dyDescent="0.25">
      <c r="A181" s="27" t="s">
        <v>46</v>
      </c>
      <c r="B181" s="7">
        <f>'Water foot print'!Q65</f>
        <v>0.36710037174721188</v>
      </c>
      <c r="C181" s="7">
        <f>'Water foot print'!R65</f>
        <v>0.34200743494423785</v>
      </c>
      <c r="D181" s="7">
        <f>'Water foot print'!S65</f>
        <v>0.32063197026022305</v>
      </c>
      <c r="E181" s="28">
        <f t="shared" si="61"/>
        <v>1.029739776951673</v>
      </c>
      <c r="F181" s="28">
        <f t="shared" si="62"/>
        <v>0.34324659231722432</v>
      </c>
      <c r="G181" s="39" t="s">
        <v>20</v>
      </c>
      <c r="H181" s="28">
        <f>SUM(H175:H180)-H176</f>
        <v>53</v>
      </c>
      <c r="I181" s="28">
        <f>B194</f>
        <v>0.46415509799481747</v>
      </c>
      <c r="K181" s="28" t="s">
        <v>47</v>
      </c>
      <c r="L181" s="16">
        <f>TINV(0.05,34)</f>
        <v>2.0322445093177191</v>
      </c>
      <c r="O181" s="30">
        <v>5</v>
      </c>
      <c r="P181" s="33">
        <f t="shared" si="68"/>
        <v>0.42244518661081548</v>
      </c>
      <c r="Q181" s="31">
        <f t="shared" si="69"/>
        <v>4</v>
      </c>
      <c r="R181" s="35">
        <v>3</v>
      </c>
      <c r="S181" s="27" t="s">
        <v>44</v>
      </c>
      <c r="T181" s="9">
        <f t="shared" si="65"/>
        <v>39.89266547406082</v>
      </c>
      <c r="U181" s="9">
        <f t="shared" si="63"/>
        <v>39.177101967799636</v>
      </c>
      <c r="V181" s="9">
        <f t="shared" si="64"/>
        <v>38.282647584973162</v>
      </c>
      <c r="X181" s="27" t="s">
        <v>95</v>
      </c>
      <c r="Y181" s="56">
        <f>112.5+AA179</f>
        <v>112.5</v>
      </c>
    </row>
    <row r="182" spans="1:25" x14ac:dyDescent="0.25">
      <c r="A182" s="27" t="s">
        <v>48</v>
      </c>
      <c r="B182" s="7">
        <f>'Water foot print'!Q66</f>
        <v>0.18272727272727274</v>
      </c>
      <c r="C182" s="7">
        <f>'Water foot print'!R66</f>
        <v>0.20545454545454545</v>
      </c>
      <c r="D182" s="7">
        <f>'Water foot print'!S66</f>
        <v>0.24090909090909091</v>
      </c>
      <c r="E182" s="28">
        <f t="shared" si="61"/>
        <v>0.62909090909090915</v>
      </c>
      <c r="F182" s="28">
        <f t="shared" si="62"/>
        <v>0.20969696969696972</v>
      </c>
      <c r="G182" s="42" t="s">
        <v>33</v>
      </c>
      <c r="H182" s="28">
        <f>SQRT(J180/3)</f>
        <v>1.4655105784792613E-2</v>
      </c>
      <c r="O182" s="30">
        <v>6</v>
      </c>
      <c r="P182" s="33">
        <f t="shared" si="68"/>
        <v>0.5238832178041406</v>
      </c>
      <c r="Q182" s="31">
        <f t="shared" si="69"/>
        <v>1</v>
      </c>
      <c r="R182" s="37">
        <v>1</v>
      </c>
      <c r="S182" s="27" t="s">
        <v>46</v>
      </c>
      <c r="T182" s="9">
        <f t="shared" si="65"/>
        <v>36.710037174721187</v>
      </c>
      <c r="U182" s="9">
        <f t="shared" si="63"/>
        <v>34.200743494423783</v>
      </c>
      <c r="V182" s="9">
        <f t="shared" si="64"/>
        <v>32.063197026022308</v>
      </c>
      <c r="X182" s="27" t="s">
        <v>96</v>
      </c>
      <c r="Y182" s="56">
        <f>112.5+AA179+20</f>
        <v>132.5</v>
      </c>
    </row>
    <row r="183" spans="1:25" x14ac:dyDescent="0.25">
      <c r="A183" s="27" t="s">
        <v>49</v>
      </c>
      <c r="B183" s="7">
        <f>'Water foot print'!Q67</f>
        <v>0.37370892018779339</v>
      </c>
      <c r="C183" s="7">
        <f>'Water foot print'!R67</f>
        <v>0.3295774647887324</v>
      </c>
      <c r="D183" s="7">
        <f>'Water foot print'!S67</f>
        <v>0.37089201877934275</v>
      </c>
      <c r="E183" s="28">
        <f t="shared" si="61"/>
        <v>1.0741784037558686</v>
      </c>
      <c r="F183" s="28">
        <f t="shared" si="62"/>
        <v>0.35805946791862286</v>
      </c>
      <c r="G183" s="42" t="s">
        <v>37</v>
      </c>
      <c r="H183" s="28">
        <f>(SQRT((2*J180)/3))*L181</f>
        <v>4.2119180662698104E-2</v>
      </c>
      <c r="L183" s="16">
        <f>P173-P174</f>
        <v>-6.1505469549261671E-2</v>
      </c>
      <c r="O183" s="30">
        <v>7</v>
      </c>
      <c r="P183" s="33">
        <f t="shared" si="68"/>
        <v>0.38749261408399494</v>
      </c>
      <c r="Q183" s="31">
        <f t="shared" si="69"/>
        <v>6</v>
      </c>
      <c r="R183" s="37">
        <v>6</v>
      </c>
      <c r="S183" s="27" t="s">
        <v>48</v>
      </c>
      <c r="T183" s="9">
        <f t="shared" si="65"/>
        <v>18.272727272727273</v>
      </c>
      <c r="U183" s="9">
        <f t="shared" si="63"/>
        <v>20.545454545454543</v>
      </c>
      <c r="V183" s="9">
        <f t="shared" si="64"/>
        <v>24.09090909090909</v>
      </c>
      <c r="X183" s="27" t="s">
        <v>97</v>
      </c>
      <c r="Y183" s="56">
        <f>AB179+20</f>
        <v>20</v>
      </c>
    </row>
    <row r="184" spans="1:25" x14ac:dyDescent="0.25">
      <c r="A184" s="27" t="s">
        <v>50</v>
      </c>
      <c r="B184" s="7">
        <f>'Water foot print'!Q68</f>
        <v>0.48084479371316308</v>
      </c>
      <c r="C184" s="7">
        <f>'Water foot print'!R68</f>
        <v>0.4862475442043222</v>
      </c>
      <c r="D184" s="7">
        <f>'Water foot print'!S68</f>
        <v>0.43713163064833005</v>
      </c>
      <c r="E184" s="28">
        <f t="shared" si="61"/>
        <v>1.4042239685658153</v>
      </c>
      <c r="F184" s="28">
        <f t="shared" si="62"/>
        <v>0.46807465618860511</v>
      </c>
      <c r="G184" s="42" t="s">
        <v>51</v>
      </c>
      <c r="H184" s="28">
        <f>((SQRT(J180))/F191)*100</f>
        <v>6.5314835184722781</v>
      </c>
      <c r="O184" s="30">
        <v>8</v>
      </c>
      <c r="P184" s="33">
        <f t="shared" si="68"/>
        <v>0.43955417587428525</v>
      </c>
      <c r="Q184" s="31">
        <f t="shared" si="69"/>
        <v>2</v>
      </c>
      <c r="R184" s="35">
        <v>4</v>
      </c>
      <c r="S184" s="27" t="s">
        <v>49</v>
      </c>
      <c r="T184" s="9">
        <f t="shared" si="65"/>
        <v>37.370892018779337</v>
      </c>
      <c r="U184" s="9">
        <f t="shared" si="63"/>
        <v>32.95774647887324</v>
      </c>
      <c r="V184" s="9">
        <f t="shared" si="64"/>
        <v>37.089201877934272</v>
      </c>
    </row>
    <row r="185" spans="1:25" x14ac:dyDescent="0.25">
      <c r="A185" s="27" t="s">
        <v>52</v>
      </c>
      <c r="B185" s="7">
        <f>'Water foot print'!Q69</f>
        <v>0.38438438438438438</v>
      </c>
      <c r="C185" s="7">
        <f>'Water foot print'!R69</f>
        <v>0.37837837837837834</v>
      </c>
      <c r="D185" s="7">
        <f>'Water foot print'!S69</f>
        <v>0.35435435435435436</v>
      </c>
      <c r="E185" s="28">
        <f t="shared" si="61"/>
        <v>1.117117117117117</v>
      </c>
      <c r="F185" s="28">
        <f t="shared" si="62"/>
        <v>0.37237237237237236</v>
      </c>
      <c r="O185" s="30">
        <v>9</v>
      </c>
      <c r="P185" s="33">
        <f t="shared" si="68"/>
        <v>0.38807092658473719</v>
      </c>
      <c r="Q185" s="31">
        <f t="shared" si="69"/>
        <v>5</v>
      </c>
      <c r="R185" s="37">
        <v>8</v>
      </c>
      <c r="S185" s="27" t="s">
        <v>50</v>
      </c>
      <c r="T185" s="9">
        <f t="shared" si="65"/>
        <v>48.084479371316306</v>
      </c>
      <c r="U185" s="9">
        <f t="shared" si="63"/>
        <v>48.624754420432218</v>
      </c>
      <c r="V185" s="9">
        <f t="shared" si="64"/>
        <v>43.713163064833005</v>
      </c>
    </row>
    <row r="186" spans="1:25" x14ac:dyDescent="0.25">
      <c r="A186" s="27" t="s">
        <v>53</v>
      </c>
      <c r="B186" s="7">
        <f>'Water foot print'!Q70</f>
        <v>0.38739669421487605</v>
      </c>
      <c r="C186" s="7">
        <f>'Water foot print'!R70</f>
        <v>0.49070247933884298</v>
      </c>
      <c r="D186" s="7">
        <f>'Water foot print'!S70</f>
        <v>0.44938016528925617</v>
      </c>
      <c r="E186" s="28">
        <f t="shared" si="61"/>
        <v>1.3274793388429753</v>
      </c>
      <c r="F186" s="28">
        <f t="shared" si="62"/>
        <v>0.44249311294765842</v>
      </c>
      <c r="H186" s="16" t="s">
        <v>54</v>
      </c>
      <c r="O186" s="25" t="s">
        <v>33</v>
      </c>
      <c r="P186" s="33">
        <f>SQRT(J180/(3*2))</f>
        <v>1.0362724679433057E-2</v>
      </c>
      <c r="Q186" s="31"/>
      <c r="S186" s="27" t="s">
        <v>52</v>
      </c>
      <c r="T186" s="9">
        <f t="shared" si="65"/>
        <v>38.438438438438439</v>
      </c>
      <c r="U186" s="9">
        <f t="shared" si="63"/>
        <v>37.837837837837832</v>
      </c>
      <c r="V186" s="9">
        <f t="shared" si="64"/>
        <v>35.435435435435437</v>
      </c>
    </row>
    <row r="187" spans="1:25" x14ac:dyDescent="0.25">
      <c r="A187" s="27" t="s">
        <v>55</v>
      </c>
      <c r="B187" s="7">
        <f>'Water foot print'!Q71</f>
        <v>0.55490654205607481</v>
      </c>
      <c r="C187" s="7">
        <f>'Water foot print'!R71</f>
        <v>0.625</v>
      </c>
      <c r="D187" s="7">
        <f>'Water foot print'!S71</f>
        <v>0.55841121495327106</v>
      </c>
      <c r="E187" s="28">
        <f t="shared" si="61"/>
        <v>1.7383177570093458</v>
      </c>
      <c r="F187" s="28">
        <f t="shared" si="62"/>
        <v>0.57943925233644855</v>
      </c>
      <c r="G187" s="43">
        <v>1</v>
      </c>
      <c r="H187" s="16">
        <f>F173-F182</f>
        <v>-2.004270735862182E-2</v>
      </c>
      <c r="N187" s="25" t="s">
        <v>41</v>
      </c>
      <c r="O187" s="25" t="s">
        <v>37</v>
      </c>
      <c r="P187" s="33">
        <f>SQRT((2*J180)/(3*2))*L181</f>
        <v>2.9782758264615128E-2</v>
      </c>
      <c r="Q187" s="31"/>
      <c r="S187" s="27" t="s">
        <v>53</v>
      </c>
      <c r="T187" s="9">
        <f t="shared" si="65"/>
        <v>38.739669421487605</v>
      </c>
      <c r="U187" s="9">
        <f t="shared" si="63"/>
        <v>49.070247933884296</v>
      </c>
      <c r="V187" s="9">
        <f t="shared" si="64"/>
        <v>44.938016528925615</v>
      </c>
    </row>
    <row r="188" spans="1:25" x14ac:dyDescent="0.25">
      <c r="A188" s="27" t="s">
        <v>56</v>
      </c>
      <c r="B188" s="7">
        <f>'Water foot print'!Q72</f>
        <v>0.43642241379310343</v>
      </c>
      <c r="C188" s="7">
        <f>'Water foot print'!R72</f>
        <v>0.38577586206896547</v>
      </c>
      <c r="D188" s="7">
        <f>'Water foot print'!S72</f>
        <v>0.44827586206896552</v>
      </c>
      <c r="E188" s="28">
        <f t="shared" si="61"/>
        <v>1.2704741379310345</v>
      </c>
      <c r="F188" s="28">
        <f>E188/3</f>
        <v>0.42349137931034481</v>
      </c>
      <c r="G188" s="43">
        <v>2</v>
      </c>
      <c r="H188" s="16">
        <f t="shared" ref="H188:H195" si="71">F174-F183</f>
        <v>-6.9593579076217549E-3</v>
      </c>
      <c r="Q188" s="31"/>
      <c r="S188" s="27" t="s">
        <v>55</v>
      </c>
      <c r="T188" s="9">
        <f t="shared" si="65"/>
        <v>55.490654205607484</v>
      </c>
      <c r="U188" s="9">
        <f t="shared" si="63"/>
        <v>62.5</v>
      </c>
      <c r="V188" s="9">
        <f t="shared" si="64"/>
        <v>55.841121495327108</v>
      </c>
    </row>
    <row r="189" spans="1:25" x14ac:dyDescent="0.25">
      <c r="A189" s="27" t="s">
        <v>57</v>
      </c>
      <c r="B189" s="7">
        <f>'Water foot print'!Q73</f>
        <v>0.46945701357466063</v>
      </c>
      <c r="C189" s="7">
        <f>'Water foot print'!R73</f>
        <v>0.48190045248868779</v>
      </c>
      <c r="D189" s="7">
        <f>'Water foot print'!S73</f>
        <v>0.51244343891402711</v>
      </c>
      <c r="E189" s="28">
        <f t="shared" si="61"/>
        <v>1.4638009049773755</v>
      </c>
      <c r="F189" s="28">
        <f t="shared" ref="F189:F190" si="72">E189/3</f>
        <v>0.48793363499245851</v>
      </c>
      <c r="G189" s="43">
        <v>3</v>
      </c>
      <c r="H189" s="16">
        <f t="shared" si="71"/>
        <v>-6.8074656188605143E-2</v>
      </c>
      <c r="S189" s="27" t="s">
        <v>56</v>
      </c>
      <c r="T189" s="9">
        <f t="shared" si="65"/>
        <v>43.642241379310342</v>
      </c>
      <c r="U189" s="9">
        <f t="shared" si="63"/>
        <v>38.577586206896548</v>
      </c>
      <c r="V189" s="9">
        <f t="shared" si="64"/>
        <v>44.827586206896555</v>
      </c>
    </row>
    <row r="190" spans="1:25" x14ac:dyDescent="0.25">
      <c r="A190" s="27" t="s">
        <v>58</v>
      </c>
      <c r="B190" s="7">
        <f>'Water foot print'!Q74</f>
        <v>0.42532855436081241</v>
      </c>
      <c r="C190" s="7">
        <f>'Water foot print'!R74</f>
        <v>0.46117084826762245</v>
      </c>
      <c r="D190" s="7">
        <f>'Water foot print'!S74</f>
        <v>0.41218637992831542</v>
      </c>
      <c r="E190" s="28">
        <f t="shared" si="61"/>
        <v>1.2986857825567504</v>
      </c>
      <c r="F190" s="28">
        <f t="shared" si="72"/>
        <v>0.43289526085225011</v>
      </c>
      <c r="G190" s="43">
        <v>4</v>
      </c>
      <c r="H190" s="16">
        <f t="shared" si="71"/>
        <v>-4.885946552613224E-2</v>
      </c>
      <c r="S190" s="27" t="s">
        <v>57</v>
      </c>
      <c r="T190" s="9">
        <f t="shared" si="65"/>
        <v>46.945701357466064</v>
      </c>
      <c r="U190" s="9">
        <f t="shared" si="63"/>
        <v>48.190045248868778</v>
      </c>
      <c r="V190" s="9">
        <f t="shared" si="64"/>
        <v>51.244343891402707</v>
      </c>
    </row>
    <row r="191" spans="1:25" x14ac:dyDescent="0.25">
      <c r="A191" s="25" t="s">
        <v>20</v>
      </c>
      <c r="B191" s="28">
        <f>SUM(B173:B190)</f>
        <v>6.9746385351115086</v>
      </c>
      <c r="C191" s="28">
        <f>SUM(C173:C190)</f>
        <v>7.0746080027056966</v>
      </c>
      <c r="D191" s="28">
        <f>SUM(D173:D190)</f>
        <v>6.9368424240471134</v>
      </c>
      <c r="E191" s="28">
        <f>SUM(E173:E190)</f>
        <v>20.986088961864318</v>
      </c>
      <c r="F191" s="28">
        <f>AVERAGE(B173:D190)</f>
        <v>0.38863127707156148</v>
      </c>
      <c r="G191" s="43">
        <v>5</v>
      </c>
      <c r="H191" s="16">
        <f t="shared" si="71"/>
        <v>-4.0095852673685872E-2</v>
      </c>
      <c r="S191" s="27" t="s">
        <v>58</v>
      </c>
      <c r="T191" s="9">
        <f t="shared" si="65"/>
        <v>42.532855436081242</v>
      </c>
      <c r="U191" s="9">
        <f t="shared" si="63"/>
        <v>46.117084826762245</v>
      </c>
      <c r="V191" s="9">
        <f t="shared" si="64"/>
        <v>41.218637992831539</v>
      </c>
    </row>
    <row r="192" spans="1:25" x14ac:dyDescent="0.25">
      <c r="A192" s="25" t="s">
        <v>11</v>
      </c>
      <c r="B192" s="28">
        <f>B191/18</f>
        <v>0.38747991861730602</v>
      </c>
      <c r="C192" s="28">
        <f>C191/18</f>
        <v>0.39303377792809424</v>
      </c>
      <c r="D192" s="28">
        <f>D191/18</f>
        <v>0.38538013466928406</v>
      </c>
      <c r="G192" s="43">
        <v>6</v>
      </c>
      <c r="H192" s="16">
        <f t="shared" si="71"/>
        <v>-0.11111206906461585</v>
      </c>
    </row>
    <row r="193" spans="1:17" x14ac:dyDescent="0.25">
      <c r="A193" s="25" t="s">
        <v>59</v>
      </c>
      <c r="B193" s="28">
        <f>(E191*E191)/54</f>
        <v>8.1558505539867294</v>
      </c>
      <c r="C193" s="28"/>
      <c r="D193" s="28"/>
      <c r="G193" s="43">
        <v>7</v>
      </c>
      <c r="H193" s="16">
        <f t="shared" si="71"/>
        <v>-7.1997530452699743E-2</v>
      </c>
    </row>
    <row r="194" spans="1:17" x14ac:dyDescent="0.25">
      <c r="A194" s="25" t="s">
        <v>60</v>
      </c>
      <c r="B194" s="28">
        <f>SUMSQ(B173:D190)-B193</f>
        <v>0.46415509799481747</v>
      </c>
      <c r="C194" s="25" t="s">
        <v>61</v>
      </c>
      <c r="D194" s="28">
        <f>(SUMSQ(B191:D191)/18)-B193</f>
        <v>5.6299620603184053E-4</v>
      </c>
      <c r="G194" s="43">
        <v>8</v>
      </c>
      <c r="H194" s="16">
        <f t="shared" si="71"/>
        <v>-9.6758918236346525E-2</v>
      </c>
    </row>
    <row r="195" spans="1:17" x14ac:dyDescent="0.25">
      <c r="A195" s="25" t="s">
        <v>62</v>
      </c>
      <c r="B195" s="28">
        <f>(SUMSQ(E173:E190)/3)-B193</f>
        <v>0.44168534498131251</v>
      </c>
      <c r="C195" s="25" t="s">
        <v>63</v>
      </c>
      <c r="D195" s="28">
        <f>B194-B195-D194</f>
        <v>2.1906756807473116E-2</v>
      </c>
      <c r="G195" s="43">
        <v>9</v>
      </c>
      <c r="H195" s="16">
        <f t="shared" si="71"/>
        <v>-8.9648668535025788E-2</v>
      </c>
    </row>
    <row r="198" spans="1:17" ht="18.75" x14ac:dyDescent="0.3">
      <c r="C198" s="58" t="s">
        <v>99</v>
      </c>
    </row>
    <row r="199" spans="1:17" ht="18.75" x14ac:dyDescent="0.3">
      <c r="C199" s="59" t="s">
        <v>100</v>
      </c>
    </row>
    <row r="201" spans="1:17" x14ac:dyDescent="0.25">
      <c r="A201" s="19" t="s">
        <v>13</v>
      </c>
      <c r="B201" s="20">
        <v>2</v>
      </c>
      <c r="C201" s="21"/>
      <c r="D201" s="21"/>
      <c r="E201" s="21"/>
      <c r="F201" s="21"/>
      <c r="G201" s="21"/>
      <c r="H201" s="21"/>
      <c r="I201" s="21"/>
      <c r="M201" s="22"/>
      <c r="N201" s="22"/>
      <c r="O201" s="21"/>
      <c r="P201" s="21"/>
    </row>
    <row r="202" spans="1:17" x14ac:dyDescent="0.25">
      <c r="A202" s="19" t="s">
        <v>14</v>
      </c>
      <c r="B202" s="20">
        <v>9</v>
      </c>
      <c r="C202" s="21" t="s">
        <v>15</v>
      </c>
      <c r="D202" s="21">
        <v>18</v>
      </c>
      <c r="E202" s="21"/>
      <c r="F202" s="21"/>
      <c r="G202" s="21"/>
      <c r="H202" s="21"/>
      <c r="I202" s="21"/>
      <c r="M202" s="22"/>
      <c r="N202" s="22"/>
      <c r="O202" s="21"/>
      <c r="P202" s="21"/>
    </row>
    <row r="203" spans="1:17" x14ac:dyDescent="0.25">
      <c r="A203" s="15" t="s">
        <v>16</v>
      </c>
      <c r="B203" s="23">
        <v>3</v>
      </c>
    </row>
    <row r="204" spans="1:17" s="16" customFormat="1" x14ac:dyDescent="0.25">
      <c r="A204" s="24" t="s">
        <v>0</v>
      </c>
      <c r="B204" s="25" t="s">
        <v>17</v>
      </c>
      <c r="C204" s="25" t="s">
        <v>18</v>
      </c>
      <c r="D204" s="25" t="s">
        <v>19</v>
      </c>
      <c r="E204" s="25" t="s">
        <v>20</v>
      </c>
      <c r="F204" s="25" t="s">
        <v>11</v>
      </c>
      <c r="O204" s="16" t="s">
        <v>21</v>
      </c>
      <c r="Q204" s="15"/>
    </row>
    <row r="205" spans="1:17" s="16" customFormat="1" x14ac:dyDescent="0.25">
      <c r="A205" s="27" t="s">
        <v>22</v>
      </c>
      <c r="B205" s="8">
        <f>'Water foot print'!AL97</f>
        <v>2801.9657056603769</v>
      </c>
      <c r="C205" s="8">
        <f>'Water foot print'!AM97</f>
        <v>3720.3144357798155</v>
      </c>
      <c r="D205" s="8">
        <f>'Water foot print'!AN97</f>
        <v>3250.1107258064517</v>
      </c>
      <c r="E205" s="28">
        <f>SUM(B205:D205)</f>
        <v>9772.3908672466441</v>
      </c>
      <c r="F205" s="28">
        <f>E205/3</f>
        <v>3257.4636224155479</v>
      </c>
      <c r="H205" s="29"/>
      <c r="I205" s="29"/>
      <c r="J205" s="29" t="s">
        <v>23</v>
      </c>
      <c r="K205" s="29"/>
      <c r="L205" s="29"/>
      <c r="M205" s="29"/>
      <c r="N205" s="29"/>
      <c r="O205" s="30">
        <v>1</v>
      </c>
      <c r="P205" s="28">
        <f>SUM(F205:F213)/9</f>
        <v>1646.0818272554893</v>
      </c>
      <c r="Q205" s="31">
        <f>RANK(P205,P$205:P$206,0)</f>
        <v>1</v>
      </c>
    </row>
    <row r="206" spans="1:17" s="16" customFormat="1" x14ac:dyDescent="0.25">
      <c r="A206" s="27" t="s">
        <v>24</v>
      </c>
      <c r="B206" s="8">
        <f>'Water foot print'!AL98</f>
        <v>1561.2869999999998</v>
      </c>
      <c r="C206" s="8">
        <f>'Water foot print'!AM98</f>
        <v>1600.1759948586121</v>
      </c>
      <c r="D206" s="8">
        <f>'Water foot print'!AN98</f>
        <v>1774.3949239130434</v>
      </c>
      <c r="E206" s="28">
        <f t="shared" ref="E206:E222" si="73">SUM(B206:D206)</f>
        <v>4935.857918771655</v>
      </c>
      <c r="F206" s="28">
        <f t="shared" ref="F206:F219" si="74">E206/3</f>
        <v>1645.2859729238851</v>
      </c>
      <c r="G206" s="28"/>
      <c r="H206" s="25" t="s">
        <v>25</v>
      </c>
      <c r="I206" s="25" t="s">
        <v>26</v>
      </c>
      <c r="J206" s="25" t="s">
        <v>27</v>
      </c>
      <c r="K206" s="25" t="s">
        <v>28</v>
      </c>
      <c r="L206" s="25" t="s">
        <v>29</v>
      </c>
      <c r="M206" s="25" t="s">
        <v>30</v>
      </c>
      <c r="N206" s="32"/>
      <c r="O206" s="30">
        <v>2</v>
      </c>
      <c r="P206" s="28">
        <f>SUM(F214:F222)/9</f>
        <v>1232.8947669669137</v>
      </c>
      <c r="Q206" s="31">
        <f>RANK(P206,P$205:P$206,0)</f>
        <v>2</v>
      </c>
    </row>
    <row r="207" spans="1:17" s="16" customFormat="1" x14ac:dyDescent="0.25">
      <c r="A207" s="27" t="s">
        <v>31</v>
      </c>
      <c r="B207" s="8">
        <f>'Water foot print'!AL99</f>
        <v>1710.3298392315469</v>
      </c>
      <c r="C207" s="8">
        <f>'Water foot print'!AM99</f>
        <v>1448.4907981651374</v>
      </c>
      <c r="D207" s="8">
        <f>'Water foot print'!AN99</f>
        <v>1435.535051685393</v>
      </c>
      <c r="E207" s="28">
        <f t="shared" si="73"/>
        <v>4594.3556890820773</v>
      </c>
      <c r="F207" s="28">
        <f t="shared" si="74"/>
        <v>1531.4518963606924</v>
      </c>
      <c r="G207" s="28" t="s">
        <v>32</v>
      </c>
      <c r="H207" s="28">
        <f>B203-1</f>
        <v>2</v>
      </c>
      <c r="I207" s="28">
        <f>D226</f>
        <v>4841.5175861567259</v>
      </c>
      <c r="J207" s="28">
        <f>I207/H207</f>
        <v>2420.7587930783629</v>
      </c>
      <c r="K207" s="28">
        <f>J207/$J$16</f>
        <v>4877514.2566789938</v>
      </c>
      <c r="L207" s="28">
        <f>FINV(0.05,H207,$H$16)</f>
        <v>3.275897990672394</v>
      </c>
      <c r="M207" s="28" t="str">
        <f>IF(K207&gt;=L207, "S", "NS")</f>
        <v>S</v>
      </c>
      <c r="N207" s="21"/>
      <c r="O207" s="25" t="s">
        <v>33</v>
      </c>
      <c r="P207" s="33">
        <f>SQRT(J212/(3*9))</f>
        <v>41.384631937324933</v>
      </c>
      <c r="Q207" s="15"/>
    </row>
    <row r="208" spans="1:17" s="16" customFormat="1" x14ac:dyDescent="0.25">
      <c r="A208" s="27" t="s">
        <v>34</v>
      </c>
      <c r="B208" s="8">
        <f>'Water foot print'!AL100</f>
        <v>1543.6588190954769</v>
      </c>
      <c r="C208" s="8">
        <f>'Water foot print'!AM100</f>
        <v>1582.6102081218271</v>
      </c>
      <c r="D208" s="8">
        <f>'Water foot print'!AN100</f>
        <v>1494.1226519607837</v>
      </c>
      <c r="E208" s="28">
        <f t="shared" si="73"/>
        <v>4620.3916791780875</v>
      </c>
      <c r="F208" s="28">
        <f t="shared" si="74"/>
        <v>1540.1305597260291</v>
      </c>
      <c r="G208" s="28" t="s">
        <v>35</v>
      </c>
      <c r="H208" s="28">
        <f>D202-1</f>
        <v>17</v>
      </c>
      <c r="I208" s="28">
        <f>B227</f>
        <v>23570255.034967199</v>
      </c>
      <c r="J208" s="28">
        <f t="shared" ref="J208:J212" si="75">I208/H208</f>
        <v>1386485.5902921881</v>
      </c>
      <c r="K208" s="28">
        <f>J208/$J$16</f>
        <v>2793588214.020472</v>
      </c>
      <c r="L208" s="28">
        <f>FINV(0.05,H208,$H$16)</f>
        <v>1.9332068318040869</v>
      </c>
      <c r="M208" s="34" t="str">
        <f t="shared" ref="M208" si="76">IF(K208&gt;=L208, "S", "NS")</f>
        <v>S</v>
      </c>
      <c r="N208" s="25" t="s">
        <v>36</v>
      </c>
      <c r="O208" s="25" t="s">
        <v>37</v>
      </c>
      <c r="P208" s="33">
        <f>SQRT((2*J212)/(3*9))*L213</f>
        <v>118.94058049285661</v>
      </c>
      <c r="Q208" s="15"/>
    </row>
    <row r="209" spans="1:18" s="16" customFormat="1" x14ac:dyDescent="0.25">
      <c r="A209" s="27" t="s">
        <v>38</v>
      </c>
      <c r="B209" s="8">
        <f>'Water foot print'!AL101</f>
        <v>1499.2494025316453</v>
      </c>
      <c r="C209" s="8">
        <f>'Water foot print'!AM101</f>
        <v>1678.6233586956523</v>
      </c>
      <c r="D209" s="8">
        <f>'Water foot print'!AN101</f>
        <v>1834.9713159420289</v>
      </c>
      <c r="E209" s="28">
        <f t="shared" si="73"/>
        <v>5012.8440771693267</v>
      </c>
      <c r="F209" s="28">
        <f t="shared" si="74"/>
        <v>1670.9480257231089</v>
      </c>
      <c r="G209" s="28" t="s">
        <v>39</v>
      </c>
      <c r="H209" s="28">
        <f>B201-1</f>
        <v>1</v>
      </c>
      <c r="I209" s="28">
        <f>(SUM(E205:E213)^2+SUM(E214:E222)^2)/27-B225</f>
        <v>2304767.881663844</v>
      </c>
      <c r="J209" s="28">
        <f t="shared" si="75"/>
        <v>2304767.881663844</v>
      </c>
      <c r="K209" s="28">
        <f>J209/$J$16</f>
        <v>4643807649.6072197</v>
      </c>
      <c r="L209" s="28">
        <f>FINV(0.05,H209,$H$16)</f>
        <v>4.1300177456520188</v>
      </c>
      <c r="M209" s="28" t="str">
        <f>IF(K209&gt;=L209, "S", "NS")</f>
        <v>S</v>
      </c>
      <c r="N209" s="21"/>
      <c r="O209" s="30">
        <v>1</v>
      </c>
      <c r="P209" s="28">
        <f>(F205+F214)/2</f>
        <v>3140.0486858664558</v>
      </c>
      <c r="Q209" s="31">
        <f>RANK(P209,P$209:P$217,0)</f>
        <v>1</v>
      </c>
      <c r="R209" s="35">
        <v>9</v>
      </c>
    </row>
    <row r="210" spans="1:18" s="16" customFormat="1" x14ac:dyDescent="0.25">
      <c r="A210" s="27" t="s">
        <v>40</v>
      </c>
      <c r="B210" s="8">
        <f>'Water foot print'!AL102</f>
        <v>1362.0070762331843</v>
      </c>
      <c r="C210" s="8">
        <f>'Water foot print'!AM102</f>
        <v>1402.8852146118722</v>
      </c>
      <c r="D210" s="8">
        <f>'Water foot print'!AN102</f>
        <v>1452.4078551401876</v>
      </c>
      <c r="E210" s="28">
        <f t="shared" si="73"/>
        <v>4217.3001459852439</v>
      </c>
      <c r="F210" s="28">
        <f t="shared" si="74"/>
        <v>1405.7667153284146</v>
      </c>
      <c r="G210" s="28" t="s">
        <v>41</v>
      </c>
      <c r="H210" s="28">
        <f>B202-1</f>
        <v>8</v>
      </c>
      <c r="I210" s="28">
        <f>((E205+E214)^2+(E206+E215)^2+(E207+E216)^2+(E208+E217)^2+(E209+E218)^2+(E210+E219)^2+(E211+E220)^2+(E212+E221)^2+(E213+E222)^2/6)-B225</f>
        <v>658667543.43424976</v>
      </c>
      <c r="J210" s="28">
        <f t="shared" si="75"/>
        <v>82333442.92928122</v>
      </c>
      <c r="K210" s="28">
        <f>J210/$J$16</f>
        <v>165891183721.92801</v>
      </c>
      <c r="L210" s="28">
        <f>FINV(0.05,H210,$H$16)</f>
        <v>2.2253399674380931</v>
      </c>
      <c r="M210" s="28" t="str">
        <f>IF(K210&gt;=L210, "S", "NS")</f>
        <v>S</v>
      </c>
      <c r="N210" s="21"/>
      <c r="O210" s="30">
        <v>2</v>
      </c>
      <c r="P210" s="28">
        <f t="shared" ref="P210:P217" si="77">(F206+F215)/2</f>
        <v>1423.6456852361557</v>
      </c>
      <c r="Q210" s="31">
        <f t="shared" ref="Q210:Q217" si="78">RANK(P210,P$209:P$217,0)</f>
        <v>3</v>
      </c>
      <c r="R210" s="37">
        <v>5</v>
      </c>
    </row>
    <row r="211" spans="1:18" s="16" customFormat="1" x14ac:dyDescent="0.25">
      <c r="A211" s="27" t="s">
        <v>42</v>
      </c>
      <c r="B211" s="8">
        <f>'Water foot print'!AL103</f>
        <v>1181.2928430107522</v>
      </c>
      <c r="C211" s="8">
        <f>'Water foot print'!AM103</f>
        <v>1251.8389734151331</v>
      </c>
      <c r="D211" s="8">
        <f>'Water foot print'!AN103</f>
        <v>1393.1353333333329</v>
      </c>
      <c r="E211" s="28">
        <f t="shared" si="73"/>
        <v>3826.2671497592182</v>
      </c>
      <c r="F211" s="28">
        <f t="shared" si="74"/>
        <v>1275.4223832530727</v>
      </c>
      <c r="G211" s="38" t="s">
        <v>43</v>
      </c>
      <c r="H211" s="28">
        <f>H209*H210</f>
        <v>8</v>
      </c>
      <c r="I211" s="28">
        <f>I208-(I209+I210)</f>
        <v>-637402056.28094637</v>
      </c>
      <c r="J211" s="28">
        <f t="shared" si="75"/>
        <v>-79675257.035118297</v>
      </c>
      <c r="K211" s="39">
        <f>J211/$J$16</f>
        <v>-160535284723.33542</v>
      </c>
      <c r="L211" s="28">
        <f>FINV(0.05,H211,$H$16)</f>
        <v>2.2253399674380931</v>
      </c>
      <c r="M211" s="28" t="str">
        <f t="shared" ref="M211" si="79">IF(K211&gt;=L211, "S", "NS")</f>
        <v>NS</v>
      </c>
      <c r="N211" s="21"/>
      <c r="O211" s="30">
        <v>3</v>
      </c>
      <c r="P211" s="28">
        <f t="shared" si="77"/>
        <v>1463.7317894156258</v>
      </c>
      <c r="Q211" s="31">
        <f t="shared" si="78"/>
        <v>2</v>
      </c>
      <c r="R211" s="37">
        <v>2</v>
      </c>
    </row>
    <row r="212" spans="1:18" s="16" customFormat="1" x14ac:dyDescent="0.25">
      <c r="A212" s="27" t="s">
        <v>44</v>
      </c>
      <c r="B212" s="8">
        <f>'Water foot print'!AL104</f>
        <v>1279.6924141414138</v>
      </c>
      <c r="C212" s="8">
        <f>'Water foot print'!AM104</f>
        <v>1312.4935329218104</v>
      </c>
      <c r="D212" s="8">
        <f>'Water foot print'!AN104</f>
        <v>1406.8811505376341</v>
      </c>
      <c r="E212" s="28">
        <f t="shared" si="73"/>
        <v>3999.0670976008587</v>
      </c>
      <c r="F212" s="28">
        <f t="shared" si="74"/>
        <v>1333.0223658669529</v>
      </c>
      <c r="G212" s="40" t="s">
        <v>45</v>
      </c>
      <c r="H212" s="28">
        <f>((B203-1)*(B201*B202-1))</f>
        <v>34</v>
      </c>
      <c r="I212" s="28">
        <f>D227</f>
        <v>1572247.3642196506</v>
      </c>
      <c r="J212" s="28">
        <f t="shared" si="75"/>
        <v>46242.569535872077</v>
      </c>
      <c r="O212" s="30">
        <v>4</v>
      </c>
      <c r="P212" s="28">
        <f t="shared" si="77"/>
        <v>1291.4507837152696</v>
      </c>
      <c r="Q212" s="31">
        <f t="shared" si="78"/>
        <v>5</v>
      </c>
      <c r="R212" s="37">
        <v>7</v>
      </c>
    </row>
    <row r="213" spans="1:18" x14ac:dyDescent="0.25">
      <c r="A213" s="27" t="s">
        <v>46</v>
      </c>
      <c r="B213" s="8">
        <f>'Water foot print'!AL105</f>
        <v>1061.6585931558936</v>
      </c>
      <c r="C213" s="8">
        <f>'Water foot print'!AM105</f>
        <v>1182.7145433070866</v>
      </c>
      <c r="D213" s="8">
        <f>'Water foot print'!AN105</f>
        <v>1221.3615746421267</v>
      </c>
      <c r="E213" s="28">
        <f t="shared" si="73"/>
        <v>3465.7347111051067</v>
      </c>
      <c r="F213" s="28">
        <f t="shared" si="74"/>
        <v>1155.2449037017022</v>
      </c>
      <c r="G213" s="39" t="s">
        <v>20</v>
      </c>
      <c r="H213" s="28">
        <f>SUM(H207:H212)-H208</f>
        <v>53</v>
      </c>
      <c r="I213" s="28">
        <f>B226</f>
        <v>25147343.916773006</v>
      </c>
      <c r="K213" s="28" t="s">
        <v>47</v>
      </c>
      <c r="L213" s="16">
        <f>TINV(0.05,34)</f>
        <v>2.0322445093177191</v>
      </c>
      <c r="O213" s="30">
        <v>5</v>
      </c>
      <c r="P213" s="28">
        <f t="shared" si="77"/>
        <v>1298.329469702983</v>
      </c>
      <c r="Q213" s="31">
        <f t="shared" si="78"/>
        <v>4</v>
      </c>
      <c r="R213" s="35">
        <v>3</v>
      </c>
    </row>
    <row r="214" spans="1:18" x14ac:dyDescent="0.25">
      <c r="A214" s="27" t="s">
        <v>48</v>
      </c>
      <c r="B214" s="8">
        <f>'Water foot print'!AL106</f>
        <v>3599.5062686567162</v>
      </c>
      <c r="C214" s="8">
        <f>'Water foot print'!AM106</f>
        <v>3052.8378849557521</v>
      </c>
      <c r="D214" s="8">
        <f>'Water foot print'!AN106</f>
        <v>2415.5570943396233</v>
      </c>
      <c r="E214" s="28">
        <f t="shared" si="73"/>
        <v>9067.9012479520916</v>
      </c>
      <c r="F214" s="28">
        <f t="shared" si="74"/>
        <v>3022.6337493173637</v>
      </c>
      <c r="G214" s="42" t="s">
        <v>33</v>
      </c>
      <c r="H214" s="28">
        <f>SQRT(J212/3)</f>
        <v>124.15389581197479</v>
      </c>
      <c r="O214" s="30">
        <v>6</v>
      </c>
      <c r="P214" s="28">
        <f t="shared" si="77"/>
        <v>1122.0395454784996</v>
      </c>
      <c r="Q214" s="31">
        <f t="shared" si="78"/>
        <v>8</v>
      </c>
      <c r="R214" s="37">
        <v>1</v>
      </c>
    </row>
    <row r="215" spans="1:18" x14ac:dyDescent="0.25">
      <c r="A215" s="27" t="s">
        <v>49</v>
      </c>
      <c r="B215" s="8">
        <f>'Water foot print'!AL107</f>
        <v>1146.0118124999999</v>
      </c>
      <c r="C215" s="8">
        <f>'Water foot print'!AM107</f>
        <v>1195.7211428571429</v>
      </c>
      <c r="D215" s="8">
        <f>'Water foot print'!AN107</f>
        <v>1264.2832372881355</v>
      </c>
      <c r="E215" s="28">
        <f t="shared" si="73"/>
        <v>3606.0161926452784</v>
      </c>
      <c r="F215" s="28">
        <f t="shared" si="74"/>
        <v>1202.0053975484261</v>
      </c>
      <c r="G215" s="42" t="s">
        <v>37</v>
      </c>
      <c r="H215" s="28">
        <f>(SQRT((2*J212)/3))*L213</f>
        <v>356.82174147856989</v>
      </c>
      <c r="O215" s="30">
        <v>7</v>
      </c>
      <c r="P215" s="28">
        <f t="shared" si="77"/>
        <v>1162.1425498189137</v>
      </c>
      <c r="Q215" s="31">
        <f t="shared" si="78"/>
        <v>6</v>
      </c>
      <c r="R215" s="37">
        <v>6</v>
      </c>
    </row>
    <row r="216" spans="1:18" x14ac:dyDescent="0.25">
      <c r="A216" s="27" t="s">
        <v>50</v>
      </c>
      <c r="B216" s="8">
        <f>'Water foot print'!AL108</f>
        <v>1317.261407035176</v>
      </c>
      <c r="C216" s="8">
        <f>'Water foot print'!AM108</f>
        <v>1544.6035897435897</v>
      </c>
      <c r="D216" s="8">
        <f>'Water foot print'!AN108</f>
        <v>1326.1700506329114</v>
      </c>
      <c r="E216" s="28">
        <f t="shared" si="73"/>
        <v>4188.0350474116776</v>
      </c>
      <c r="F216" s="28">
        <f t="shared" si="74"/>
        <v>1396.0116824705592</v>
      </c>
      <c r="G216" s="42" t="s">
        <v>51</v>
      </c>
      <c r="H216" s="28">
        <f>((SQRT(J212))/F223)*100</f>
        <v>14.938701199273529</v>
      </c>
      <c r="O216" s="30">
        <v>8</v>
      </c>
      <c r="P216" s="28">
        <f t="shared" si="77"/>
        <v>1126.4455517224901</v>
      </c>
      <c r="Q216" s="31">
        <f t="shared" si="78"/>
        <v>7</v>
      </c>
      <c r="R216" s="35">
        <v>4</v>
      </c>
    </row>
    <row r="217" spans="1:18" x14ac:dyDescent="0.25">
      <c r="A217" s="27" t="s">
        <v>52</v>
      </c>
      <c r="B217" s="8">
        <f>'Water foot print'!AL109</f>
        <v>974.44983703703701</v>
      </c>
      <c r="C217" s="8">
        <f>'Water foot print'!AM109</f>
        <v>1233.4299553072624</v>
      </c>
      <c r="D217" s="8">
        <f>'Water foot print'!AN109</f>
        <v>920.43323076923048</v>
      </c>
      <c r="E217" s="28">
        <f t="shared" si="73"/>
        <v>3128.3130231135301</v>
      </c>
      <c r="F217" s="28">
        <f t="shared" si="74"/>
        <v>1042.7710077045101</v>
      </c>
      <c r="O217" s="30">
        <v>9</v>
      </c>
      <c r="P217" s="28">
        <f t="shared" si="77"/>
        <v>927.56061304442073</v>
      </c>
      <c r="Q217" s="31">
        <f t="shared" si="78"/>
        <v>9</v>
      </c>
      <c r="R217" s="37">
        <v>8</v>
      </c>
    </row>
    <row r="218" spans="1:18" x14ac:dyDescent="0.25">
      <c r="A218" s="27" t="s">
        <v>53</v>
      </c>
      <c r="B218" s="8">
        <f>'Water foot print'!AL110</f>
        <v>985.36651685393269</v>
      </c>
      <c r="C218" s="8">
        <f>'Water foot print'!AM110</f>
        <v>789.30177202072514</v>
      </c>
      <c r="D218" s="8">
        <f>'Water foot print'!AN110</f>
        <v>1002.4644521739131</v>
      </c>
      <c r="E218" s="28">
        <f t="shared" si="73"/>
        <v>2777.132741048571</v>
      </c>
      <c r="F218" s="28">
        <f t="shared" si="74"/>
        <v>925.71091368285704</v>
      </c>
      <c r="O218" s="25" t="s">
        <v>33</v>
      </c>
      <c r="P218" s="33">
        <f>SQRT(J212/(3*2))</f>
        <v>87.79006163937548</v>
      </c>
      <c r="Q218" s="31"/>
    </row>
    <row r="219" spans="1:18" x14ac:dyDescent="0.25">
      <c r="A219" s="27" t="s">
        <v>55</v>
      </c>
      <c r="B219" s="8">
        <f>'Water foot print'!AL111</f>
        <v>909.90805301204773</v>
      </c>
      <c r="C219" s="8">
        <f>'Water foot print'!AM111</f>
        <v>855.34523943661964</v>
      </c>
      <c r="D219" s="8">
        <f>'Water foot print'!AN111</f>
        <v>749.68383443708615</v>
      </c>
      <c r="E219" s="28">
        <f t="shared" si="73"/>
        <v>2514.9371268857535</v>
      </c>
      <c r="F219" s="28">
        <f t="shared" si="74"/>
        <v>838.3123756285845</v>
      </c>
      <c r="G219" s="43"/>
      <c r="N219" s="25" t="s">
        <v>41</v>
      </c>
      <c r="O219" s="25" t="s">
        <v>37</v>
      </c>
      <c r="P219" s="33">
        <f>SQRT((2*J212)/(3*2))*L213</f>
        <v>252.31107307428994</v>
      </c>
      <c r="Q219" s="31"/>
    </row>
    <row r="220" spans="1:18" x14ac:dyDescent="0.25">
      <c r="A220" s="27" t="s">
        <v>56</v>
      </c>
      <c r="B220" s="8">
        <f>'Water foot print'!AL112</f>
        <v>1284.5469440000002</v>
      </c>
      <c r="C220" s="8">
        <f>'Water foot print'!AM112</f>
        <v>859.00021894736824</v>
      </c>
      <c r="D220" s="8">
        <f>'Water foot print'!AN112</f>
        <v>1003.0409862068964</v>
      </c>
      <c r="E220" s="28">
        <f t="shared" si="73"/>
        <v>3146.588149154265</v>
      </c>
      <c r="F220" s="28">
        <f>E220/3</f>
        <v>1048.862716384755</v>
      </c>
      <c r="G220" s="43"/>
      <c r="Q220" s="31"/>
    </row>
    <row r="221" spans="1:18" x14ac:dyDescent="0.25">
      <c r="A221" s="27" t="s">
        <v>57</v>
      </c>
      <c r="B221" s="8">
        <f>'Water foot print'!AL113</f>
        <v>885.19483146067387</v>
      </c>
      <c r="C221" s="8">
        <f>'Water foot print'!AM113</f>
        <v>844.33186666666643</v>
      </c>
      <c r="D221" s="8">
        <f>'Water foot print'!AN113</f>
        <v>1030.0795146067417</v>
      </c>
      <c r="E221" s="28">
        <f t="shared" si="73"/>
        <v>2759.606212734082</v>
      </c>
      <c r="F221" s="28">
        <f t="shared" ref="F221:F222" si="80">E221/3</f>
        <v>919.86873757802732</v>
      </c>
      <c r="G221" s="43"/>
    </row>
    <row r="222" spans="1:18" x14ac:dyDescent="0.25">
      <c r="A222" s="27" t="s">
        <v>58</v>
      </c>
      <c r="B222" s="8">
        <f>'Water foot print'!AL114</f>
        <v>743.65030105263156</v>
      </c>
      <c r="C222" s="8">
        <f>'Water foot print'!AM114</f>
        <v>589.25579999999991</v>
      </c>
      <c r="D222" s="8">
        <f>'Water foot print'!AN114</f>
        <v>766.72286610878666</v>
      </c>
      <c r="E222" s="28">
        <f t="shared" si="73"/>
        <v>2099.6289671614181</v>
      </c>
      <c r="F222" s="28">
        <f t="shared" si="80"/>
        <v>699.87632238713934</v>
      </c>
      <c r="G222" s="43"/>
    </row>
    <row r="223" spans="1:18" x14ac:dyDescent="0.25">
      <c r="A223" s="25" t="s">
        <v>20</v>
      </c>
      <c r="B223" s="28">
        <f>SUM(B205:B222)</f>
        <v>25847.037664668511</v>
      </c>
      <c r="C223" s="28">
        <f t="shared" ref="C223:D223" si="81">SUM(C205:C222)</f>
        <v>26143.974529812076</v>
      </c>
      <c r="D223" s="28">
        <f t="shared" si="81"/>
        <v>25741.355849524305</v>
      </c>
      <c r="E223" s="28">
        <f>SUM(E205:E222)</f>
        <v>77732.368044004877</v>
      </c>
      <c r="F223" s="28">
        <f>AVERAGE(B205:D222)</f>
        <v>1439.4882971112017</v>
      </c>
      <c r="G223" s="43"/>
    </row>
    <row r="224" spans="1:18" x14ac:dyDescent="0.25">
      <c r="A224" s="25" t="s">
        <v>11</v>
      </c>
      <c r="B224" s="28">
        <f>B223/18</f>
        <v>1435.9465369260283</v>
      </c>
      <c r="C224" s="28">
        <f>C223/18</f>
        <v>1452.4430294340043</v>
      </c>
      <c r="D224" s="28">
        <f>D223/18</f>
        <v>1430.0753249735726</v>
      </c>
      <c r="G224" s="43"/>
    </row>
    <row r="225" spans="1:19" x14ac:dyDescent="0.25">
      <c r="A225" s="25" t="s">
        <v>59</v>
      </c>
      <c r="B225" s="28">
        <f>(E223*E223)/54</f>
        <v>111894834.10608576</v>
      </c>
      <c r="C225" s="28"/>
      <c r="D225" s="28"/>
      <c r="G225" s="43"/>
    </row>
    <row r="226" spans="1:19" x14ac:dyDescent="0.25">
      <c r="A226" s="25" t="s">
        <v>60</v>
      </c>
      <c r="B226" s="28">
        <f>SUMSQ(B205:D222)-B225</f>
        <v>25147343.916773006</v>
      </c>
      <c r="C226" s="25" t="s">
        <v>61</v>
      </c>
      <c r="D226" s="28">
        <f>(SUMSQ(B223:D223)/18)-B225</f>
        <v>4841.5175861567259</v>
      </c>
      <c r="G226" s="43"/>
    </row>
    <row r="227" spans="1:19" x14ac:dyDescent="0.25">
      <c r="A227" s="25" t="s">
        <v>62</v>
      </c>
      <c r="B227" s="28">
        <f>(SUMSQ(E205:E222)/3)-B225</f>
        <v>23570255.034967199</v>
      </c>
      <c r="C227" s="25" t="s">
        <v>63</v>
      </c>
      <c r="D227" s="28">
        <f>B226-B227-D226</f>
        <v>1572247.3642196506</v>
      </c>
      <c r="G227" s="43"/>
    </row>
    <row r="231" spans="1:19" ht="15.75" x14ac:dyDescent="0.25">
      <c r="C231" s="18" t="s">
        <v>101</v>
      </c>
    </row>
    <row r="233" spans="1:19" x14ac:dyDescent="0.25">
      <c r="A233" s="19" t="s">
        <v>13</v>
      </c>
      <c r="B233" s="20">
        <v>2</v>
      </c>
      <c r="C233" s="21"/>
      <c r="D233" s="21"/>
      <c r="E233" s="21"/>
      <c r="F233" s="21"/>
      <c r="G233" s="21"/>
      <c r="H233" s="21"/>
      <c r="L233" s="21"/>
      <c r="M233" s="22"/>
      <c r="N233" s="22"/>
      <c r="O233" s="21"/>
      <c r="P233" s="21"/>
    </row>
    <row r="234" spans="1:19" x14ac:dyDescent="0.25">
      <c r="A234" s="19" t="s">
        <v>14</v>
      </c>
      <c r="B234" s="20">
        <v>9</v>
      </c>
      <c r="C234" s="21" t="s">
        <v>15</v>
      </c>
      <c r="D234" s="21">
        <v>18</v>
      </c>
      <c r="E234" s="21"/>
      <c r="F234" s="21"/>
      <c r="G234" s="21"/>
      <c r="H234" s="21"/>
      <c r="L234" s="21"/>
      <c r="M234" s="22"/>
      <c r="N234" s="22"/>
      <c r="O234" s="21"/>
      <c r="P234" s="21"/>
    </row>
    <row r="235" spans="1:19" x14ac:dyDescent="0.25">
      <c r="A235" s="15" t="s">
        <v>16</v>
      </c>
      <c r="B235" s="23">
        <v>3</v>
      </c>
    </row>
    <row r="236" spans="1:19" x14ac:dyDescent="0.25">
      <c r="A236" s="24" t="s">
        <v>0</v>
      </c>
      <c r="B236" s="25" t="s">
        <v>17</v>
      </c>
      <c r="C236" s="25" t="s">
        <v>18</v>
      </c>
      <c r="D236" s="25" t="s">
        <v>19</v>
      </c>
      <c r="E236" s="25" t="s">
        <v>20</v>
      </c>
      <c r="F236" s="25" t="s">
        <v>11</v>
      </c>
      <c r="O236" s="16" t="s">
        <v>21</v>
      </c>
      <c r="R236" s="16"/>
      <c r="S236" s="16"/>
    </row>
    <row r="237" spans="1:19" x14ac:dyDescent="0.25">
      <c r="A237" s="27" t="s">
        <v>22</v>
      </c>
      <c r="B237" s="44">
        <f>'Water foot print'!AP97</f>
        <v>204.65485283018864</v>
      </c>
      <c r="C237" s="44">
        <f>'Water foot print'!AQ97</f>
        <v>271.73080733944948</v>
      </c>
      <c r="D237" s="44">
        <f>'Water foot print'!AR97</f>
        <v>237.38724957555181</v>
      </c>
      <c r="E237" s="28">
        <f>SUM(B237:D237)</f>
        <v>713.77290974518996</v>
      </c>
      <c r="F237" s="28">
        <f>E237/3</f>
        <v>237.92430324839665</v>
      </c>
      <c r="H237" s="29"/>
      <c r="I237" s="29"/>
      <c r="J237" s="29" t="s">
        <v>23</v>
      </c>
      <c r="K237" s="29"/>
      <c r="L237" s="29"/>
      <c r="M237" s="29"/>
      <c r="N237" s="29"/>
      <c r="O237" s="30">
        <v>1</v>
      </c>
      <c r="P237" s="28">
        <f>SUM(F237:F245)/9</f>
        <v>120.22939232370923</v>
      </c>
      <c r="Q237" s="31" t="e">
        <f>RANK(P237,P$73:P$74,0)</f>
        <v>#N/A</v>
      </c>
      <c r="R237" s="16"/>
      <c r="S237" s="16"/>
    </row>
    <row r="238" spans="1:19" x14ac:dyDescent="0.25">
      <c r="A238" s="27" t="s">
        <v>24</v>
      </c>
      <c r="B238" s="44">
        <f>'Water foot print'!AP98</f>
        <v>114.036</v>
      </c>
      <c r="C238" s="44">
        <f>'Water foot print'!AQ98</f>
        <v>116.87644215938306</v>
      </c>
      <c r="D238" s="44">
        <f>'Water foot print'!AR98</f>
        <v>129.60134782608694</v>
      </c>
      <c r="E238" s="28">
        <f t="shared" ref="E238:E254" si="82">SUM(B238:D238)</f>
        <v>360.51378998547</v>
      </c>
      <c r="F238" s="28">
        <f t="shared" ref="F238:F251" si="83">E238/3</f>
        <v>120.17126332849</v>
      </c>
      <c r="G238" s="28"/>
      <c r="H238" s="25" t="s">
        <v>25</v>
      </c>
      <c r="I238" s="25" t="s">
        <v>26</v>
      </c>
      <c r="J238" s="25" t="s">
        <v>27</v>
      </c>
      <c r="K238" s="25" t="s">
        <v>28</v>
      </c>
      <c r="L238" s="25" t="s">
        <v>29</v>
      </c>
      <c r="M238" s="25" t="s">
        <v>30</v>
      </c>
      <c r="N238" s="32"/>
      <c r="O238" s="30">
        <v>2</v>
      </c>
      <c r="P238" s="28">
        <f>SUM(F246:F254)/9</f>
        <v>104.41454052488518</v>
      </c>
      <c r="Q238" s="31" t="e">
        <f>RANK(P238,P$73:P$74,0)</f>
        <v>#N/A</v>
      </c>
      <c r="R238" s="16"/>
      <c r="S238" s="16"/>
    </row>
    <row r="239" spans="1:19" x14ac:dyDescent="0.25">
      <c r="A239" s="27" t="s">
        <v>31</v>
      </c>
      <c r="B239" s="44">
        <f>'Water foot print'!AP99</f>
        <v>124.92205055611728</v>
      </c>
      <c r="C239" s="44">
        <f>'Water foot print'!AQ99</f>
        <v>105.79739449541285</v>
      </c>
      <c r="D239" s="44">
        <f>'Water foot print'!AR99</f>
        <v>104.85111011235954</v>
      </c>
      <c r="E239" s="28">
        <f t="shared" si="82"/>
        <v>335.57055516388965</v>
      </c>
      <c r="F239" s="28">
        <f t="shared" si="83"/>
        <v>111.85685172129655</v>
      </c>
      <c r="G239" s="28" t="s">
        <v>32</v>
      </c>
      <c r="H239" s="28">
        <f>B235-1</f>
        <v>2</v>
      </c>
      <c r="I239" s="28">
        <f>D258</f>
        <v>35.53628998901695</v>
      </c>
      <c r="J239" s="28">
        <f>I239/H239</f>
        <v>17.768144994508475</v>
      </c>
      <c r="K239" s="28">
        <f>J239/$J$16</f>
        <v>35800.502211642342</v>
      </c>
      <c r="L239" s="28">
        <f>FINV(0.05,H239,$H$16)</f>
        <v>3.275897990672394</v>
      </c>
      <c r="M239" s="28" t="str">
        <f>IF(K239&gt;=L239, "S", "NS")</f>
        <v>S</v>
      </c>
      <c r="N239" s="21"/>
      <c r="O239" s="25" t="s">
        <v>33</v>
      </c>
      <c r="P239" s="33">
        <f>SQRT(J244/(3*9))</f>
        <v>3.327210145105306</v>
      </c>
      <c r="R239" s="16"/>
      <c r="S239" s="16"/>
    </row>
    <row r="240" spans="1:19" x14ac:dyDescent="0.25">
      <c r="A240" s="27" t="s">
        <v>34</v>
      </c>
      <c r="B240" s="44">
        <f>'Water foot print'!AP100</f>
        <v>112.74844221105526</v>
      </c>
      <c r="C240" s="44">
        <f>'Water foot print'!AQ100</f>
        <v>115.59344162436545</v>
      </c>
      <c r="D240" s="44">
        <f>'Water foot print'!AR100</f>
        <v>109.1303333333333</v>
      </c>
      <c r="E240" s="28">
        <f t="shared" si="82"/>
        <v>337.47221716875401</v>
      </c>
      <c r="F240" s="28">
        <f t="shared" si="83"/>
        <v>112.49073905625134</v>
      </c>
      <c r="G240" s="28" t="s">
        <v>35</v>
      </c>
      <c r="H240" s="28">
        <f>D234-1</f>
        <v>17</v>
      </c>
      <c r="I240" s="28">
        <f>B259</f>
        <v>138505.94947498397</v>
      </c>
      <c r="J240" s="28">
        <f t="shared" ref="J240:J244" si="84">I240/H240</f>
        <v>8147.4087926461152</v>
      </c>
      <c r="K240" s="28">
        <f>J240/$J$16</f>
        <v>16415969.51119153</v>
      </c>
      <c r="L240" s="28">
        <f>FINV(0.05,H240,$H$16)</f>
        <v>1.9332068318040869</v>
      </c>
      <c r="M240" s="34" t="str">
        <f t="shared" ref="M240" si="85">IF(K240&gt;=L240, "S", "NS")</f>
        <v>S</v>
      </c>
      <c r="N240" s="25" t="s">
        <v>36</v>
      </c>
      <c r="O240" s="25" t="s">
        <v>37</v>
      </c>
      <c r="P240" s="33">
        <f>SQRT((2*J244)/(3*9))*L245</f>
        <v>9.5624942775829638</v>
      </c>
      <c r="R240" s="16"/>
      <c r="S240" s="16"/>
    </row>
    <row r="241" spans="1:19" x14ac:dyDescent="0.25">
      <c r="A241" s="27" t="s">
        <v>38</v>
      </c>
      <c r="B241" s="44">
        <f>'Water foot print'!AP101</f>
        <v>109.50478987341772</v>
      </c>
      <c r="C241" s="44">
        <f>'Water foot print'!AQ101</f>
        <v>122.60621739130434</v>
      </c>
      <c r="D241" s="44">
        <f>'Water foot print'!AR101</f>
        <v>134.02583188405796</v>
      </c>
      <c r="E241" s="28">
        <f t="shared" si="82"/>
        <v>366.13683914878004</v>
      </c>
      <c r="F241" s="28">
        <f t="shared" si="83"/>
        <v>122.04561304959334</v>
      </c>
      <c r="G241" s="28" t="s">
        <v>39</v>
      </c>
      <c r="H241" s="28">
        <f>B233-1</f>
        <v>1</v>
      </c>
      <c r="I241" s="28">
        <f>(SUM(E237:E245)^2+SUM(E246:E254)^2)/27-B257</f>
        <v>3376.4787551532499</v>
      </c>
      <c r="J241" s="28">
        <f t="shared" si="84"/>
        <v>3376.4787551532499</v>
      </c>
      <c r="K241" s="28">
        <f>J241/$J$16</f>
        <v>6803165.7316386756</v>
      </c>
      <c r="L241" s="28">
        <f>FINV(0.05,H241,$H$16)</f>
        <v>4.1300177456520188</v>
      </c>
      <c r="M241" s="28" t="str">
        <f>IF(K241&gt;=L241, "S", "NS")</f>
        <v>S</v>
      </c>
      <c r="N241" s="21"/>
      <c r="O241" s="30">
        <v>1</v>
      </c>
      <c r="P241" s="28">
        <f>(F237+F246)/2</f>
        <v>246.95641462460787</v>
      </c>
      <c r="Q241" s="31" t="e">
        <f>RANK(P241,P$77:P$85,0)</f>
        <v>#N/A</v>
      </c>
      <c r="R241" s="35">
        <v>9</v>
      </c>
      <c r="S241" s="16"/>
    </row>
    <row r="242" spans="1:19" x14ac:dyDescent="0.25">
      <c r="A242" s="27" t="s">
        <v>40</v>
      </c>
      <c r="B242" s="44">
        <f>'Water foot print'!AP102</f>
        <v>99.480645739910358</v>
      </c>
      <c r="C242" s="44">
        <f>'Water foot print'!AQ102</f>
        <v>102.46637442922376</v>
      </c>
      <c r="D242" s="44">
        <f>'Water foot print'!AR102</f>
        <v>106.08349532710287</v>
      </c>
      <c r="E242" s="28">
        <f t="shared" si="82"/>
        <v>308.030515496237</v>
      </c>
      <c r="F242" s="28">
        <f t="shared" si="83"/>
        <v>102.67683849874567</v>
      </c>
      <c r="G242" s="28" t="s">
        <v>41</v>
      </c>
      <c r="H242" s="28">
        <f>B234-1</f>
        <v>8</v>
      </c>
      <c r="I242" s="28">
        <f>((E237+E246)^2+(E238+E247)^2+(E239+E248)^2+(E240+E249)^2+(E241+E250)^2+(E242+E251)^2+(E243+E252)^2+(E244+E253)^2+(E245+E254)^2/6)-B257</f>
        <v>4035619.159804672</v>
      </c>
      <c r="J242" s="28">
        <f t="shared" si="84"/>
        <v>504452.394975584</v>
      </c>
      <c r="K242" s="28">
        <f>J242/$J$16</f>
        <v>1016405994.411532</v>
      </c>
      <c r="L242" s="28">
        <f>FINV(0.05,H242,$H$16)</f>
        <v>2.2253399674380931</v>
      </c>
      <c r="M242" s="28" t="str">
        <f>IF(K242&gt;=L242, "S", "NS")</f>
        <v>S</v>
      </c>
      <c r="N242" s="21"/>
      <c r="O242" s="30">
        <v>2</v>
      </c>
      <c r="P242" s="28">
        <f t="shared" ref="P242:P249" si="86">(F238+F247)/2</f>
        <v>110.98488302623048</v>
      </c>
      <c r="Q242" s="31" t="e">
        <f t="shared" ref="Q242:Q248" si="87">RANK(P242,P$77:P$85,0)</f>
        <v>#N/A</v>
      </c>
      <c r="R242" s="37">
        <v>5</v>
      </c>
      <c r="S242" s="16"/>
    </row>
    <row r="243" spans="1:19" x14ac:dyDescent="0.25">
      <c r="A243" s="27" t="s">
        <v>42</v>
      </c>
      <c r="B243" s="44">
        <f>'Water foot print'!AP103</f>
        <v>86.281324731182778</v>
      </c>
      <c r="C243" s="44">
        <f>'Water foot print'!AQ103</f>
        <v>91.433995910020457</v>
      </c>
      <c r="D243" s="44">
        <f>'Water foot print'!AR103</f>
        <v>101.75424561403506</v>
      </c>
      <c r="E243" s="28">
        <f t="shared" si="82"/>
        <v>279.46956625523831</v>
      </c>
      <c r="F243" s="28">
        <f t="shared" si="83"/>
        <v>93.15652208507943</v>
      </c>
      <c r="G243" s="38" t="s">
        <v>43</v>
      </c>
      <c r="H243" s="28">
        <f>H241*H242</f>
        <v>8</v>
      </c>
      <c r="I243" s="28">
        <f>I240-(I241+I242)</f>
        <v>-3900489.6890848414</v>
      </c>
      <c r="J243" s="28">
        <f t="shared" si="84"/>
        <v>-487561.21113560518</v>
      </c>
      <c r="K243" s="39">
        <f>J243/$J$16</f>
        <v>-982372454.91670489</v>
      </c>
      <c r="L243" s="28">
        <f>FINV(0.05,H243,$H$16)</f>
        <v>2.2253399674380931</v>
      </c>
      <c r="M243" s="28" t="str">
        <f t="shared" ref="M243" si="88">IF(K243&gt;=L243, "S", "NS")</f>
        <v>NS</v>
      </c>
      <c r="N243" s="21"/>
      <c r="O243" s="30">
        <v>3</v>
      </c>
      <c r="P243" s="28">
        <f t="shared" si="86"/>
        <v>115.04292707275664</v>
      </c>
      <c r="Q243" s="31" t="e">
        <f t="shared" si="87"/>
        <v>#N/A</v>
      </c>
      <c r="R243" s="37">
        <v>2</v>
      </c>
      <c r="S243" s="16"/>
    </row>
    <row r="244" spans="1:19" x14ac:dyDescent="0.25">
      <c r="A244" s="27" t="s">
        <v>44</v>
      </c>
      <c r="B244" s="44">
        <f>'Water foot print'!AP104</f>
        <v>93.468404040404025</v>
      </c>
      <c r="C244" s="44">
        <f>'Water foot print'!AQ104</f>
        <v>95.86418930041151</v>
      </c>
      <c r="D244" s="44">
        <f>'Water foot print'!AR104</f>
        <v>102.75823655913975</v>
      </c>
      <c r="E244" s="28">
        <f t="shared" si="82"/>
        <v>292.09082989995528</v>
      </c>
      <c r="F244" s="28">
        <f t="shared" si="83"/>
        <v>97.363609966651765</v>
      </c>
      <c r="G244" s="40" t="s">
        <v>45</v>
      </c>
      <c r="H244" s="28">
        <f>((B235-1)*(B233*B234-1))</f>
        <v>34</v>
      </c>
      <c r="I244" s="28">
        <f>D259</f>
        <v>10162.560507016955</v>
      </c>
      <c r="J244" s="28">
        <f t="shared" si="84"/>
        <v>298.89883844167514</v>
      </c>
      <c r="O244" s="30">
        <v>4</v>
      </c>
      <c r="P244" s="28">
        <f t="shared" si="86"/>
        <v>100.40179656447302</v>
      </c>
      <c r="Q244" s="31" t="e">
        <f t="shared" si="87"/>
        <v>#N/A</v>
      </c>
      <c r="R244" s="37">
        <v>7</v>
      </c>
      <c r="S244" s="16"/>
    </row>
    <row r="245" spans="1:19" x14ac:dyDescent="0.25">
      <c r="A245" s="27" t="s">
        <v>46</v>
      </c>
      <c r="B245" s="44">
        <f>'Water foot print'!AP105</f>
        <v>77.543269961977188</v>
      </c>
      <c r="C245" s="44">
        <f>'Water foot print'!AQ105</f>
        <v>86.385165354330709</v>
      </c>
      <c r="D245" s="44">
        <f>'Water foot print'!AR105</f>
        <v>89.207934560327217</v>
      </c>
      <c r="E245" s="28">
        <f t="shared" si="82"/>
        <v>253.13636987663511</v>
      </c>
      <c r="F245" s="28">
        <f t="shared" si="83"/>
        <v>84.378789958878372</v>
      </c>
      <c r="G245" s="39" t="s">
        <v>20</v>
      </c>
      <c r="H245" s="28">
        <f>SUM(H239:H244)-H240</f>
        <v>53</v>
      </c>
      <c r="I245" s="28">
        <f>B258</f>
        <v>148704.04627198994</v>
      </c>
      <c r="K245" s="28" t="s">
        <v>47</v>
      </c>
      <c r="L245" s="16">
        <f>TINV(0.05,34)</f>
        <v>2.0322445093177191</v>
      </c>
      <c r="O245" s="30">
        <v>5</v>
      </c>
      <c r="P245" s="28">
        <f t="shared" si="86"/>
        <v>100.22229146902188</v>
      </c>
      <c r="Q245" s="31" t="e">
        <f t="shared" si="87"/>
        <v>#N/A</v>
      </c>
      <c r="R245" s="35">
        <v>3</v>
      </c>
    </row>
    <row r="246" spans="1:19" x14ac:dyDescent="0.25">
      <c r="A246" s="27" t="s">
        <v>48</v>
      </c>
      <c r="B246" s="44">
        <f>'Water foot print'!AP106</f>
        <v>304.84417910447758</v>
      </c>
      <c r="C246" s="44">
        <f>'Water foot print'!AQ106</f>
        <v>258.5465309734513</v>
      </c>
      <c r="D246" s="44">
        <f>'Water foot print'!AR106</f>
        <v>204.57486792452835</v>
      </c>
      <c r="E246" s="28">
        <f t="shared" si="82"/>
        <v>767.96557800245716</v>
      </c>
      <c r="F246" s="28">
        <f t="shared" si="83"/>
        <v>255.98852600081906</v>
      </c>
      <c r="G246" s="42" t="s">
        <v>33</v>
      </c>
      <c r="H246" s="28">
        <f>SQRT(J244/3)</f>
        <v>9.9816304353159175</v>
      </c>
      <c r="O246" s="30">
        <v>6</v>
      </c>
      <c r="P246" s="28">
        <f t="shared" si="86"/>
        <v>86.836988901397575</v>
      </c>
      <c r="Q246" s="31" t="e">
        <f t="shared" si="87"/>
        <v>#N/A</v>
      </c>
      <c r="R246" s="37">
        <v>1</v>
      </c>
    </row>
    <row r="247" spans="1:19" x14ac:dyDescent="0.25">
      <c r="A247" s="27" t="s">
        <v>49</v>
      </c>
      <c r="B247" s="44">
        <f>'Water foot print'!AP107</f>
        <v>97.056374999999989</v>
      </c>
      <c r="C247" s="44">
        <f>'Water foot print'!AQ107</f>
        <v>101.26628571428573</v>
      </c>
      <c r="D247" s="44">
        <f>'Water foot print'!AR107</f>
        <v>107.07284745762711</v>
      </c>
      <c r="E247" s="28">
        <f t="shared" si="82"/>
        <v>305.39550817191281</v>
      </c>
      <c r="F247" s="28">
        <f t="shared" si="83"/>
        <v>101.79850272397094</v>
      </c>
      <c r="G247" s="42" t="s">
        <v>37</v>
      </c>
      <c r="H247" s="28">
        <f>(SQRT((2*J244)/3))*L245</f>
        <v>28.687482832748888</v>
      </c>
      <c r="O247" s="30">
        <v>7</v>
      </c>
      <c r="P247" s="28">
        <f t="shared" si="86"/>
        <v>90.992643169581456</v>
      </c>
      <c r="Q247" s="31" t="e">
        <f t="shared" si="87"/>
        <v>#N/A</v>
      </c>
      <c r="R247" s="37">
        <v>6</v>
      </c>
    </row>
    <row r="248" spans="1:19" x14ac:dyDescent="0.25">
      <c r="A248" s="27" t="s">
        <v>50</v>
      </c>
      <c r="B248" s="44">
        <f>'Water foot print'!AP108</f>
        <v>111.55959798994976</v>
      </c>
      <c r="C248" s="44">
        <f>'Water foot print'!AQ108</f>
        <v>130.81333333333333</v>
      </c>
      <c r="D248" s="44">
        <f>'Water foot print'!AR108</f>
        <v>112.31407594936709</v>
      </c>
      <c r="E248" s="28">
        <f t="shared" si="82"/>
        <v>354.68700727265019</v>
      </c>
      <c r="F248" s="28">
        <f t="shared" si="83"/>
        <v>118.22900242421673</v>
      </c>
      <c r="G248" s="42" t="s">
        <v>51</v>
      </c>
      <c r="H248" s="28">
        <f>((SQRT(J244))/F255)*100</f>
        <v>15.392083674029381</v>
      </c>
      <c r="O248" s="30">
        <v>8</v>
      </c>
      <c r="P248" s="28">
        <f t="shared" si="86"/>
        <v>87.633901362851475</v>
      </c>
      <c r="Q248" s="31" t="e">
        <f t="shared" si="87"/>
        <v>#N/A</v>
      </c>
      <c r="R248" s="35">
        <v>4</v>
      </c>
    </row>
    <row r="249" spans="1:19" x14ac:dyDescent="0.25">
      <c r="A249" s="27" t="s">
        <v>52</v>
      </c>
      <c r="B249" s="44">
        <f>'Water foot print'!AP109</f>
        <v>82.526696296296308</v>
      </c>
      <c r="C249" s="44">
        <f>'Water foot print'!AQ109</f>
        <v>104.45986592178771</v>
      </c>
      <c r="D249" s="44">
        <f>'Water foot print'!AR109</f>
        <v>77.951999999999984</v>
      </c>
      <c r="E249" s="28">
        <f t="shared" si="82"/>
        <v>264.93856221808403</v>
      </c>
      <c r="F249" s="28">
        <f t="shared" si="83"/>
        <v>88.312854072694677</v>
      </c>
      <c r="O249" s="30">
        <v>9</v>
      </c>
      <c r="P249" s="28">
        <f t="shared" si="86"/>
        <v>71.825851627754531</v>
      </c>
      <c r="Q249" s="31" t="e">
        <f>RANK(P249,P$77:P$85,0)</f>
        <v>#N/A</v>
      </c>
      <c r="R249" s="37">
        <v>8</v>
      </c>
    </row>
    <row r="250" spans="1:19" x14ac:dyDescent="0.25">
      <c r="A250" s="27" t="s">
        <v>53</v>
      </c>
      <c r="B250" s="44">
        <f>'Water foot print'!AP110</f>
        <v>83.451235955056177</v>
      </c>
      <c r="C250" s="44">
        <f>'Water foot print'!AQ110</f>
        <v>66.846404145077699</v>
      </c>
      <c r="D250" s="44">
        <f>'Water foot print'!AR110</f>
        <v>84.899269565217381</v>
      </c>
      <c r="E250" s="28">
        <f t="shared" si="82"/>
        <v>235.19690966535126</v>
      </c>
      <c r="F250" s="28">
        <f t="shared" si="83"/>
        <v>78.398969888450424</v>
      </c>
      <c r="O250" s="25" t="s">
        <v>33</v>
      </c>
      <c r="P250" s="33">
        <f>SQRT(J244/(3*2))</f>
        <v>7.0580785681099156</v>
      </c>
      <c r="Q250" s="31"/>
    </row>
    <row r="251" spans="1:19" x14ac:dyDescent="0.25">
      <c r="A251" s="27" t="s">
        <v>55</v>
      </c>
      <c r="B251" s="44">
        <f>'Water foot print'!AP111</f>
        <v>77.060616867469847</v>
      </c>
      <c r="C251" s="44">
        <f>'Water foot print'!AQ111</f>
        <v>72.439661971830972</v>
      </c>
      <c r="D251" s="44">
        <f>'Water foot print'!AR111</f>
        <v>63.491139072847687</v>
      </c>
      <c r="E251" s="28">
        <f t="shared" si="82"/>
        <v>212.99141791214851</v>
      </c>
      <c r="F251" s="28">
        <f t="shared" si="83"/>
        <v>70.997139304049497</v>
      </c>
      <c r="N251" s="25" t="s">
        <v>41</v>
      </c>
      <c r="O251" s="25" t="s">
        <v>37</v>
      </c>
      <c r="P251" s="33">
        <f>SQRT((2*J244)/(3*2))*L245</f>
        <v>20.285113646209407</v>
      </c>
      <c r="Q251" s="31"/>
    </row>
    <row r="252" spans="1:19" x14ac:dyDescent="0.25">
      <c r="A252" s="27" t="s">
        <v>56</v>
      </c>
      <c r="B252" s="44">
        <f>'Water foot print'!AP112</f>
        <v>108.78899200000002</v>
      </c>
      <c r="C252" s="44">
        <f>'Water foot print'!AQ112</f>
        <v>72.749204210526315</v>
      </c>
      <c r="D252" s="44">
        <f>'Water foot print'!AR112</f>
        <v>84.94809655172412</v>
      </c>
      <c r="E252" s="28">
        <f t="shared" si="82"/>
        <v>266.48629276225046</v>
      </c>
      <c r="F252" s="28">
        <f>E252/3</f>
        <v>88.828764254083481</v>
      </c>
      <c r="Q252" s="31"/>
    </row>
    <row r="253" spans="1:19" x14ac:dyDescent="0.25">
      <c r="A253" s="27" t="s">
        <v>57</v>
      </c>
      <c r="B253" s="44">
        <f>'Water foot print'!AP113</f>
        <v>74.967640449438193</v>
      </c>
      <c r="C253" s="44">
        <f>'Water foot print'!AQ113</f>
        <v>71.506933333333322</v>
      </c>
      <c r="D253" s="44">
        <f>'Water foot print'!AR113</f>
        <v>87.238004494382025</v>
      </c>
      <c r="E253" s="28">
        <f t="shared" si="82"/>
        <v>233.71257827715357</v>
      </c>
      <c r="F253" s="28">
        <f t="shared" ref="F253:F254" si="89">E253/3</f>
        <v>77.904192759051185</v>
      </c>
    </row>
    <row r="254" spans="1:19" x14ac:dyDescent="0.25">
      <c r="A254" s="27" t="s">
        <v>58</v>
      </c>
      <c r="B254" s="44">
        <f>'Water foot print'!AP114</f>
        <v>62.980155789473685</v>
      </c>
      <c r="C254" s="44">
        <f>'Water foot print'!AQ114</f>
        <v>49.904399999999995</v>
      </c>
      <c r="D254" s="44">
        <f>'Water foot print'!AR114</f>
        <v>64.93418410041842</v>
      </c>
      <c r="E254" s="28">
        <f t="shared" si="82"/>
        <v>177.8187398898921</v>
      </c>
      <c r="F254" s="28">
        <f t="shared" si="89"/>
        <v>59.272913296630698</v>
      </c>
    </row>
    <row r="255" spans="1:19" x14ac:dyDescent="0.25">
      <c r="A255" s="25" t="s">
        <v>20</v>
      </c>
      <c r="B255" s="28">
        <f>SUM(B237:B254)</f>
        <v>2025.8752693964145</v>
      </c>
      <c r="C255" s="28">
        <f t="shared" ref="C255:D255" si="90">SUM(C237:C254)</f>
        <v>2037.2866476075278</v>
      </c>
      <c r="D255" s="28">
        <f t="shared" si="90"/>
        <v>2002.2242699081071</v>
      </c>
      <c r="E255" s="28">
        <f>SUM(E237:E254)</f>
        <v>6065.3861869120501</v>
      </c>
      <c r="F255" s="28">
        <f>AVERAGE(B237:D254)</f>
        <v>112.32196642429724</v>
      </c>
    </row>
    <row r="256" spans="1:19" x14ac:dyDescent="0.25">
      <c r="A256" s="25" t="s">
        <v>11</v>
      </c>
      <c r="B256" s="28">
        <f>B255/18</f>
        <v>112.54862607757859</v>
      </c>
      <c r="C256" s="28">
        <f>C255/18</f>
        <v>113.18259153375155</v>
      </c>
      <c r="D256" s="28">
        <f>D255/18</f>
        <v>111.23468166156151</v>
      </c>
    </row>
    <row r="257" spans="1:18" x14ac:dyDescent="0.25">
      <c r="A257" s="25" t="s">
        <v>59</v>
      </c>
      <c r="B257" s="28">
        <f>(E255*E255)/54</f>
        <v>681276.10363673139</v>
      </c>
      <c r="C257" s="28"/>
      <c r="D257" s="28"/>
    </row>
    <row r="258" spans="1:18" x14ac:dyDescent="0.25">
      <c r="A258" s="25" t="s">
        <v>60</v>
      </c>
      <c r="B258" s="28">
        <f>SUMSQ(B237:D254)-B257</f>
        <v>148704.04627198994</v>
      </c>
      <c r="C258" s="25" t="s">
        <v>61</v>
      </c>
      <c r="D258" s="28">
        <f>(SUMSQ(B255:D255)/18)-B257</f>
        <v>35.53628998901695</v>
      </c>
    </row>
    <row r="259" spans="1:18" x14ac:dyDescent="0.25">
      <c r="A259" s="25" t="s">
        <v>62</v>
      </c>
      <c r="B259" s="28">
        <f>(SUMSQ(E237:E254)/3)-B257</f>
        <v>138505.94947498397</v>
      </c>
      <c r="C259" s="25" t="s">
        <v>63</v>
      </c>
      <c r="D259" s="28">
        <f>B258-B259-D258</f>
        <v>10162.560507016955</v>
      </c>
    </row>
    <row r="263" spans="1:18" ht="15.75" x14ac:dyDescent="0.25">
      <c r="C263" s="18" t="s">
        <v>102</v>
      </c>
    </row>
    <row r="265" spans="1:18" x14ac:dyDescent="0.25">
      <c r="A265" s="19" t="s">
        <v>13</v>
      </c>
      <c r="B265" s="20">
        <v>2</v>
      </c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2"/>
      <c r="N265" s="22"/>
      <c r="O265" s="21"/>
      <c r="P265" s="21"/>
    </row>
    <row r="266" spans="1:18" x14ac:dyDescent="0.25">
      <c r="A266" s="19" t="s">
        <v>14</v>
      </c>
      <c r="B266" s="20">
        <v>9</v>
      </c>
      <c r="C266" s="21" t="s">
        <v>15</v>
      </c>
      <c r="D266" s="21">
        <v>18</v>
      </c>
      <c r="E266" s="21"/>
      <c r="F266" s="21"/>
      <c r="G266" s="21"/>
      <c r="H266" s="21"/>
      <c r="I266" s="21"/>
      <c r="J266" s="21"/>
      <c r="K266" s="21"/>
      <c r="L266" s="21"/>
      <c r="M266" s="22"/>
      <c r="N266" s="22"/>
      <c r="O266" s="21"/>
      <c r="P266" s="21"/>
    </row>
    <row r="267" spans="1:18" x14ac:dyDescent="0.25">
      <c r="A267" s="15" t="s">
        <v>16</v>
      </c>
      <c r="B267" s="23">
        <v>3</v>
      </c>
    </row>
    <row r="268" spans="1:18" x14ac:dyDescent="0.25">
      <c r="A268" s="24" t="s">
        <v>0</v>
      </c>
      <c r="B268" s="25" t="s">
        <v>17</v>
      </c>
      <c r="C268" s="25" t="s">
        <v>18</v>
      </c>
      <c r="D268" s="25" t="s">
        <v>19</v>
      </c>
      <c r="E268" s="25" t="s">
        <v>20</v>
      </c>
      <c r="F268" s="25" t="s">
        <v>11</v>
      </c>
      <c r="O268" s="16" t="s">
        <v>21</v>
      </c>
      <c r="R268" s="16"/>
    </row>
    <row r="269" spans="1:18" x14ac:dyDescent="0.25">
      <c r="A269" s="27" t="s">
        <v>22</v>
      </c>
      <c r="B269" s="45">
        <f>'Water foot print'!AT97</f>
        <v>3.0096301886792389</v>
      </c>
      <c r="C269" s="45">
        <f>'Water foot print'!AU97</f>
        <v>3.9960412844034181</v>
      </c>
      <c r="D269" s="45">
        <f>'Water foot print'!AV97</f>
        <v>3.490988964346343</v>
      </c>
      <c r="E269" s="28">
        <f>SUM(B269:D269)</f>
        <v>10.496660437429</v>
      </c>
      <c r="F269" s="28">
        <f>E269/3</f>
        <v>3.4988868124763335</v>
      </c>
      <c r="H269" s="29"/>
      <c r="I269" s="29"/>
      <c r="J269" s="29" t="s">
        <v>23</v>
      </c>
      <c r="K269" s="29"/>
      <c r="L269" s="29"/>
      <c r="M269" s="29"/>
      <c r="N269" s="29"/>
      <c r="O269" s="30">
        <v>1</v>
      </c>
      <c r="P269" s="33">
        <f>SUM(F269:F277)/9</f>
        <v>1.7680792988781766</v>
      </c>
      <c r="Q269" s="31" t="e">
        <f>RANK(P269,P$105:P$106,0)</f>
        <v>#N/A</v>
      </c>
      <c r="R269" s="16"/>
    </row>
    <row r="270" spans="1:18" x14ac:dyDescent="0.25">
      <c r="A270" s="27" t="s">
        <v>24</v>
      </c>
      <c r="B270" s="45">
        <f>'Water foot print'!AT98</f>
        <v>1.6770000000001346</v>
      </c>
      <c r="C270" s="45">
        <f>'Water foot print'!AU98</f>
        <v>1.7187712082263715</v>
      </c>
      <c r="D270" s="45">
        <f>'Water foot print'!AV98</f>
        <v>1.9059021739130912</v>
      </c>
      <c r="E270" s="28">
        <f t="shared" ref="E270:E286" si="91">SUM(B270:D270)</f>
        <v>5.3016733821395974</v>
      </c>
      <c r="F270" s="28">
        <f t="shared" ref="F270:F283" si="92">E270/3</f>
        <v>1.7672244607131991</v>
      </c>
      <c r="G270" s="28"/>
      <c r="H270" s="25" t="s">
        <v>25</v>
      </c>
      <c r="I270" s="25" t="s">
        <v>26</v>
      </c>
      <c r="J270" s="25" t="s">
        <v>27</v>
      </c>
      <c r="K270" s="25" t="s">
        <v>28</v>
      </c>
      <c r="L270" s="25" t="s">
        <v>29</v>
      </c>
      <c r="M270" s="25" t="s">
        <v>30</v>
      </c>
      <c r="N270" s="32"/>
      <c r="O270" s="30">
        <v>2</v>
      </c>
      <c r="P270" s="33">
        <f>SUM(F278:F286)/9</f>
        <v>1.3386479554472999</v>
      </c>
      <c r="Q270" s="31" t="e">
        <f>RANK(P270,P$105:P$106,0)</f>
        <v>#N/A</v>
      </c>
      <c r="R270" s="16"/>
    </row>
    <row r="271" spans="1:18" x14ac:dyDescent="0.25">
      <c r="A271" s="27" t="s">
        <v>31</v>
      </c>
      <c r="B271" s="45">
        <f>'Water foot print'!AT99</f>
        <v>1.8370889787665874</v>
      </c>
      <c r="C271" s="45">
        <f>'Water foot print'!AU99</f>
        <v>1.5558440366974082</v>
      </c>
      <c r="D271" s="45">
        <f>'Water foot print'!AV99</f>
        <v>1.5419280898877332</v>
      </c>
      <c r="E271" s="28">
        <f t="shared" si="91"/>
        <v>4.9348611053517288</v>
      </c>
      <c r="F271" s="28">
        <f t="shared" si="92"/>
        <v>1.6449537017839095</v>
      </c>
      <c r="G271" s="28" t="s">
        <v>32</v>
      </c>
      <c r="H271" s="28">
        <f>B267-1</f>
        <v>2</v>
      </c>
      <c r="I271" s="28">
        <f>D290</f>
        <v>5.6292217891780183E-3</v>
      </c>
      <c r="J271" s="28">
        <f>I271/H271</f>
        <v>2.8146108945890091E-3</v>
      </c>
      <c r="K271" s="28">
        <f>J271/$J$16</f>
        <v>5.6710750383784747</v>
      </c>
      <c r="L271" s="28">
        <f>FINV(0.05,H271,$H$16)</f>
        <v>3.275897990672394</v>
      </c>
      <c r="M271" s="28" t="str">
        <f>IF(K271&gt;=L271, "S", "NS")</f>
        <v>S</v>
      </c>
      <c r="N271" s="21"/>
      <c r="O271" s="25" t="s">
        <v>33</v>
      </c>
      <c r="P271" s="33">
        <f>SQRT(J276/(3*9))</f>
        <v>4.4750009738668384E-2</v>
      </c>
      <c r="R271" s="16"/>
    </row>
    <row r="272" spans="1:18" x14ac:dyDescent="0.25">
      <c r="A272" s="27" t="s">
        <v>34</v>
      </c>
      <c r="B272" s="45">
        <f>'Water foot print'!AT100</f>
        <v>1.6580653266332774</v>
      </c>
      <c r="C272" s="45">
        <f>'Water foot print'!AU100</f>
        <v>1.6999035532996913</v>
      </c>
      <c r="D272" s="45">
        <f>'Water foot print'!AV100</f>
        <v>1.6048578431373244</v>
      </c>
      <c r="E272" s="28">
        <f t="shared" si="91"/>
        <v>4.9628267230702932</v>
      </c>
      <c r="F272" s="28">
        <f t="shared" si="92"/>
        <v>1.6542755743567643</v>
      </c>
      <c r="G272" s="28" t="s">
        <v>35</v>
      </c>
      <c r="H272" s="28">
        <f>D266-1</f>
        <v>17</v>
      </c>
      <c r="I272" s="28">
        <f>B291</f>
        <v>27.321187086965978</v>
      </c>
      <c r="J272" s="28">
        <f t="shared" ref="J272:J276" si="93">I272/H272</f>
        <v>1.6071286521744692</v>
      </c>
      <c r="K272" s="28">
        <f>J272/$J$16</f>
        <v>3238.1552989548586</v>
      </c>
      <c r="L272" s="28">
        <f>FINV(0.05,H272,$H$16)</f>
        <v>1.9332068318040869</v>
      </c>
      <c r="M272" s="34" t="str">
        <f t="shared" ref="M272" si="94">IF(K272&gt;=L272, "S", "NS")</f>
        <v>S</v>
      </c>
      <c r="N272" s="25" t="s">
        <v>36</v>
      </c>
      <c r="O272" s="25" t="s">
        <v>37</v>
      </c>
      <c r="P272" s="33">
        <f>SQRT((2*J276)/(3*9))*L277</f>
        <v>0.12861276967351115</v>
      </c>
      <c r="R272" s="16"/>
    </row>
    <row r="273" spans="1:18" x14ac:dyDescent="0.25">
      <c r="A273" s="27" t="s">
        <v>38</v>
      </c>
      <c r="B273" s="45">
        <f>'Water foot print'!AT101</f>
        <v>1.610364556962395</v>
      </c>
      <c r="C273" s="45">
        <f>'Water foot print'!AU101</f>
        <v>1.8030326086955029</v>
      </c>
      <c r="D273" s="45">
        <f>'Water foot print'!AV101</f>
        <v>1.9709681159422416</v>
      </c>
      <c r="E273" s="28">
        <f t="shared" si="91"/>
        <v>5.3843652816001395</v>
      </c>
      <c r="F273" s="28">
        <f t="shared" si="92"/>
        <v>1.7947884272000465</v>
      </c>
      <c r="G273" s="28" t="s">
        <v>39</v>
      </c>
      <c r="H273" s="28">
        <f>B265-1</f>
        <v>1</v>
      </c>
      <c r="I273" s="28">
        <f>(SUM(E269:E277)^2+SUM(E278:E286)^2)/27-B289</f>
        <v>2.4895522627314506</v>
      </c>
      <c r="J273" s="28">
        <f t="shared" si="93"/>
        <v>2.4895522627314506</v>
      </c>
      <c r="K273" s="28">
        <f>J273/$J$16</f>
        <v>5016.1241545171242</v>
      </c>
      <c r="L273" s="28">
        <f>FINV(0.05,H273,$H$16)</f>
        <v>4.1300177456520188</v>
      </c>
      <c r="M273" s="28" t="str">
        <f>IF(K273&gt;=L273, "S", "NS")</f>
        <v>S</v>
      </c>
      <c r="N273" s="21"/>
      <c r="O273" s="30">
        <v>1</v>
      </c>
      <c r="P273" s="33">
        <f>(F269+F278)/2</f>
        <v>3.3903954959869984</v>
      </c>
      <c r="Q273" s="31" t="e">
        <f>RANK(P273,P$109:P$117,0)</f>
        <v>#N/A</v>
      </c>
      <c r="R273" s="35">
        <v>9</v>
      </c>
    </row>
    <row r="274" spans="1:18" x14ac:dyDescent="0.25">
      <c r="A274" s="27" t="s">
        <v>40</v>
      </c>
      <c r="B274" s="45">
        <f>'Water foot print'!AT102</f>
        <v>1.4629506726457748</v>
      </c>
      <c r="C274" s="45">
        <f>'Water foot print'!AU102</f>
        <v>1.5068584474886393</v>
      </c>
      <c r="D274" s="45">
        <f>'Water foot print'!AV102</f>
        <v>1.5600514018692593</v>
      </c>
      <c r="E274" s="28">
        <f t="shared" si="91"/>
        <v>4.5298605220036734</v>
      </c>
      <c r="F274" s="28">
        <f t="shared" si="92"/>
        <v>1.5099535073345578</v>
      </c>
      <c r="G274" s="28" t="s">
        <v>41</v>
      </c>
      <c r="H274" s="28">
        <f>B266-1</f>
        <v>8</v>
      </c>
      <c r="I274" s="28">
        <f>((E269+E278)^2+(E270+E279)^2+(E271+E280)^2+(E272+E281)^2+(E273+E282)^2+(E274+E283)^2+(E275+E284)^2+(E276+E285)^2+(E277+E286)^2/6)-B289</f>
        <v>767.34873805056611</v>
      </c>
      <c r="J274" s="28">
        <f t="shared" si="93"/>
        <v>95.918592256320764</v>
      </c>
      <c r="K274" s="28">
        <f>J274/$J$16</f>
        <v>193263.49347505567</v>
      </c>
      <c r="L274" s="28">
        <f>FINV(0.05,H274,$H$16)</f>
        <v>2.2253399674380931</v>
      </c>
      <c r="M274" s="28" t="str">
        <f>IF(K274&gt;=L274, "S", "NS")</f>
        <v>S</v>
      </c>
      <c r="N274" s="21"/>
      <c r="O274" s="30">
        <v>2</v>
      </c>
      <c r="P274" s="33">
        <f t="shared" ref="P274:P281" si="95">(F270+F279)/2</f>
        <v>1.5361667349974746</v>
      </c>
      <c r="Q274" s="31" t="e">
        <f t="shared" ref="Q274:Q281" si="96">RANK(P274,P$109:P$117,0)</f>
        <v>#N/A</v>
      </c>
      <c r="R274" s="37">
        <v>5</v>
      </c>
    </row>
    <row r="275" spans="1:18" x14ac:dyDescent="0.25">
      <c r="A275" s="27" t="s">
        <v>42</v>
      </c>
      <c r="B275" s="45">
        <f>'Water foot print'!AT103</f>
        <v>1.2688430107527893</v>
      </c>
      <c r="C275" s="45">
        <f>'Water foot print'!AU103</f>
        <v>1.3446175869121362</v>
      </c>
      <c r="D275" s="45">
        <f>'Water foot print'!AV103</f>
        <v>1.4963859649124061</v>
      </c>
      <c r="E275" s="28">
        <f t="shared" si="91"/>
        <v>4.1098465625773315</v>
      </c>
      <c r="F275" s="28">
        <f t="shared" si="92"/>
        <v>1.3699488541924438</v>
      </c>
      <c r="G275" s="38" t="s">
        <v>43</v>
      </c>
      <c r="H275" s="28">
        <f>H273*H274</f>
        <v>8</v>
      </c>
      <c r="I275" s="28">
        <f>I272-(I273+I274)</f>
        <v>-742.51710322633153</v>
      </c>
      <c r="J275" s="28">
        <f t="shared" si="93"/>
        <v>-92.814637903291441</v>
      </c>
      <c r="K275" s="39">
        <f>J275/$J$16</f>
        <v>-187009.42898409121</v>
      </c>
      <c r="L275" s="28">
        <f>FINV(0.05,H275,$H$16)</f>
        <v>2.2253399674380931</v>
      </c>
      <c r="M275" s="28" t="str">
        <f t="shared" ref="M275" si="97">IF(K275&gt;=L275, "S", "NS")</f>
        <v>NS</v>
      </c>
      <c r="N275" s="21"/>
      <c r="O275" s="30">
        <v>3</v>
      </c>
      <c r="P275" s="33">
        <f t="shared" si="95"/>
        <v>1.5803550715600445</v>
      </c>
      <c r="Q275" s="31" t="e">
        <f t="shared" si="96"/>
        <v>#N/A</v>
      </c>
      <c r="R275" s="37">
        <v>2</v>
      </c>
    </row>
    <row r="276" spans="1:18" x14ac:dyDescent="0.25">
      <c r="A276" s="27" t="s">
        <v>44</v>
      </c>
      <c r="B276" s="45">
        <f>'Water foot print'!AT104</f>
        <v>1.3745353535355207</v>
      </c>
      <c r="C276" s="45">
        <f>'Water foot print'!AU104</f>
        <v>1.4097674897120669</v>
      </c>
      <c r="D276" s="45">
        <f>'Water foot print'!AV104</f>
        <v>1.5111505376344212</v>
      </c>
      <c r="E276" s="28">
        <f t="shared" si="91"/>
        <v>4.2954533808820088</v>
      </c>
      <c r="F276" s="28">
        <f t="shared" si="92"/>
        <v>1.4318177936273362</v>
      </c>
      <c r="G276" s="40" t="s">
        <v>45</v>
      </c>
      <c r="H276" s="28">
        <f>((B267-1)*(B265*B266-1))</f>
        <v>34</v>
      </c>
      <c r="I276" s="28">
        <f>D291</f>
        <v>1.8383531751388205</v>
      </c>
      <c r="J276" s="28">
        <f t="shared" si="93"/>
        <v>5.406921103349472E-2</v>
      </c>
      <c r="O276" s="30">
        <v>4</v>
      </c>
      <c r="P276" s="33">
        <f t="shared" si="95"/>
        <v>1.3932458261059726</v>
      </c>
      <c r="Q276" s="31" t="e">
        <f t="shared" si="96"/>
        <v>#N/A</v>
      </c>
      <c r="R276" s="37">
        <v>7</v>
      </c>
    </row>
    <row r="277" spans="1:18" x14ac:dyDescent="0.25">
      <c r="A277" s="27" t="s">
        <v>46</v>
      </c>
      <c r="B277" s="45">
        <f>'Water foot print'!AT105</f>
        <v>1.1403422053233498</v>
      </c>
      <c r="C277" s="45">
        <f>'Water foot print'!AU105</f>
        <v>1.2703700787403704</v>
      </c>
      <c r="D277" s="45">
        <f>'Water foot print'!AV105</f>
        <v>1.3118813905932711</v>
      </c>
      <c r="E277" s="28">
        <f t="shared" si="91"/>
        <v>3.7225936746569914</v>
      </c>
      <c r="F277" s="28">
        <f t="shared" si="92"/>
        <v>1.2408645582189972</v>
      </c>
      <c r="G277" s="39" t="s">
        <v>20</v>
      </c>
      <c r="H277" s="28">
        <f>SUM(H271:H276)-H272</f>
        <v>53</v>
      </c>
      <c r="I277" s="28">
        <f>B290</f>
        <v>29.165169483893976</v>
      </c>
      <c r="K277" s="28" t="s">
        <v>47</v>
      </c>
      <c r="L277" s="16">
        <f>TINV(0.05,34)</f>
        <v>2.0322445093177191</v>
      </c>
      <c r="O277" s="30">
        <v>5</v>
      </c>
      <c r="P277" s="33">
        <f t="shared" si="95"/>
        <v>1.3999517128849752</v>
      </c>
      <c r="Q277" s="31" t="e">
        <f t="shared" si="96"/>
        <v>#N/A</v>
      </c>
      <c r="R277" s="35">
        <v>3</v>
      </c>
    </row>
    <row r="278" spans="1:18" x14ac:dyDescent="0.25">
      <c r="A278" s="27" t="s">
        <v>48</v>
      </c>
      <c r="B278" s="45">
        <f>'Water foot print'!AT106</f>
        <v>3.9082587064676773</v>
      </c>
      <c r="C278" s="45">
        <f>'Water foot print'!AU106</f>
        <v>3.3146991150442773</v>
      </c>
      <c r="D278" s="45">
        <f>'Water foot print'!AV106</f>
        <v>2.622754716981035</v>
      </c>
      <c r="E278" s="28">
        <f t="shared" si="91"/>
        <v>9.8457125384929896</v>
      </c>
      <c r="F278" s="28">
        <f t="shared" si="92"/>
        <v>3.2819041794976633</v>
      </c>
      <c r="G278" s="42" t="s">
        <v>33</v>
      </c>
      <c r="H278" s="28">
        <f>SQRT(J276/3)</f>
        <v>0.13425002921600518</v>
      </c>
      <c r="O278" s="30">
        <v>6</v>
      </c>
      <c r="P278" s="33">
        <f t="shared" si="95"/>
        <v>1.2100866210009447</v>
      </c>
      <c r="Q278" s="31" t="e">
        <f t="shared" si="96"/>
        <v>#N/A</v>
      </c>
      <c r="R278" s="37">
        <v>1</v>
      </c>
    </row>
    <row r="279" spans="1:18" x14ac:dyDescent="0.25">
      <c r="A279" s="27" t="s">
        <v>49</v>
      </c>
      <c r="B279" s="45">
        <f>'Water foot print'!AT107</f>
        <v>1.2443125000002055</v>
      </c>
      <c r="C279" s="45">
        <f>'Water foot print'!AU107</f>
        <v>1.2982857142858393</v>
      </c>
      <c r="D279" s="45">
        <f>'Water foot print'!AV107</f>
        <v>1.3727288135592062</v>
      </c>
      <c r="E279" s="28">
        <f t="shared" si="91"/>
        <v>3.915327027845251</v>
      </c>
      <c r="F279" s="28">
        <f t="shared" si="92"/>
        <v>1.3051090092817503</v>
      </c>
      <c r="G279" s="42" t="s">
        <v>37</v>
      </c>
      <c r="H279" s="28">
        <f>(SQRT((2*J276)/3))*L277</f>
        <v>0.38583830902053345</v>
      </c>
      <c r="O279" s="30">
        <v>7</v>
      </c>
      <c r="P279" s="33">
        <f t="shared" si="95"/>
        <v>1.2543895825711502</v>
      </c>
      <c r="Q279" s="31" t="e">
        <f t="shared" si="96"/>
        <v>#N/A</v>
      </c>
      <c r="R279" s="37">
        <v>6</v>
      </c>
    </row>
    <row r="280" spans="1:18" x14ac:dyDescent="0.25">
      <c r="A280" s="27" t="s">
        <v>50</v>
      </c>
      <c r="B280" s="45">
        <f>'Water foot print'!AT108</f>
        <v>1.4302512562815082</v>
      </c>
      <c r="C280" s="45">
        <f>'Water foot print'!AU108</f>
        <v>1.6770940170940776</v>
      </c>
      <c r="D280" s="45">
        <f>'Water foot print'!AV108</f>
        <v>1.4399240506329534</v>
      </c>
      <c r="E280" s="28">
        <f t="shared" si="91"/>
        <v>4.5472693240085391</v>
      </c>
      <c r="F280" s="28">
        <f t="shared" si="92"/>
        <v>1.5157564413361797</v>
      </c>
      <c r="G280" s="42" t="s">
        <v>51</v>
      </c>
      <c r="H280" s="28">
        <f>((SQRT(J276))/F287)*100</f>
        <v>14.969313524126077</v>
      </c>
      <c r="O280" s="30">
        <v>8</v>
      </c>
      <c r="P280" s="33">
        <f t="shared" si="95"/>
        <v>1.2152947478332408</v>
      </c>
      <c r="Q280" s="31" t="e">
        <f t="shared" si="96"/>
        <v>#N/A</v>
      </c>
      <c r="R280" s="35">
        <v>4</v>
      </c>
    </row>
    <row r="281" spans="1:18" x14ac:dyDescent="0.25">
      <c r="A281" s="27" t="s">
        <v>52</v>
      </c>
      <c r="B281" s="45">
        <f>'Water foot print'!AT109</f>
        <v>1.058034567901359</v>
      </c>
      <c r="C281" s="45">
        <f>'Water foot print'!AU109</f>
        <v>1.3392290502795277</v>
      </c>
      <c r="D281" s="45">
        <f>'Water foot print'!AV109</f>
        <v>0.99938461538465617</v>
      </c>
      <c r="E281" s="28">
        <f t="shared" si="91"/>
        <v>3.3966482335655428</v>
      </c>
      <c r="F281" s="28">
        <f t="shared" si="92"/>
        <v>1.1322160778551809</v>
      </c>
      <c r="O281" s="30">
        <v>9</v>
      </c>
      <c r="P281" s="33">
        <f t="shared" si="95"/>
        <v>1.0003868515238423</v>
      </c>
      <c r="Q281" s="31" t="e">
        <f t="shared" si="96"/>
        <v>#N/A</v>
      </c>
      <c r="R281" s="37">
        <v>8</v>
      </c>
    </row>
    <row r="282" spans="1:18" x14ac:dyDescent="0.25">
      <c r="A282" s="27" t="s">
        <v>53</v>
      </c>
      <c r="B282" s="45">
        <f>'Water foot print'!AT110</f>
        <v>1.0698876404494513</v>
      </c>
      <c r="C282" s="45">
        <f>'Water foot print'!AU110</f>
        <v>0.8570051813471764</v>
      </c>
      <c r="D282" s="45">
        <f>'Water foot print'!AV110</f>
        <v>1.0884521739130832</v>
      </c>
      <c r="E282" s="28">
        <f t="shared" si="91"/>
        <v>3.0153449957097109</v>
      </c>
      <c r="F282" s="28">
        <f t="shared" si="92"/>
        <v>1.0051149985699037</v>
      </c>
      <c r="O282" s="25" t="s">
        <v>33</v>
      </c>
      <c r="P282" s="33">
        <f>SQRT(J276/(3*2))</f>
        <v>9.4929106033129373E-2</v>
      </c>
      <c r="Q282" s="31"/>
    </row>
    <row r="283" spans="1:18" x14ac:dyDescent="0.25">
      <c r="A283" s="27" t="s">
        <v>55</v>
      </c>
      <c r="B283" s="45">
        <f>'Water foot print'!AT111</f>
        <v>0.98795662650604754</v>
      </c>
      <c r="C283" s="45">
        <f>'Water foot print'!AU111</f>
        <v>0.92871361502341188</v>
      </c>
      <c r="D283" s="45">
        <f>'Water foot print'!AV111</f>
        <v>0.8139889624725356</v>
      </c>
      <c r="E283" s="28">
        <f t="shared" si="91"/>
        <v>2.730659204001995</v>
      </c>
      <c r="F283" s="28">
        <f t="shared" si="92"/>
        <v>0.91021973466733164</v>
      </c>
      <c r="N283" s="25" t="s">
        <v>41</v>
      </c>
      <c r="O283" s="25" t="s">
        <v>37</v>
      </c>
      <c r="P283" s="33">
        <f>SQRT((2*J276)/(3*2))*L277</f>
        <v>0.27282888474996991</v>
      </c>
      <c r="Q283" s="31"/>
    </row>
    <row r="284" spans="1:18" x14ac:dyDescent="0.25">
      <c r="A284" s="27" t="s">
        <v>56</v>
      </c>
      <c r="B284" s="45">
        <f>'Water foot print'!AT112</f>
        <v>1.3947306666666464</v>
      </c>
      <c r="C284" s="45">
        <f>'Water foot print'!AU112</f>
        <v>0.93268210526332496</v>
      </c>
      <c r="D284" s="45">
        <f>'Water foot print'!AV112</f>
        <v>1.0890781609195983</v>
      </c>
      <c r="E284" s="28">
        <f t="shared" si="91"/>
        <v>3.4164909328495696</v>
      </c>
      <c r="F284" s="28">
        <f>E284/3</f>
        <v>1.1388303109498565</v>
      </c>
      <c r="Q284" s="31"/>
    </row>
    <row r="285" spans="1:18" x14ac:dyDescent="0.25">
      <c r="A285" s="27" t="s">
        <v>57</v>
      </c>
      <c r="B285" s="45">
        <f>'Water foot print'!AT113</f>
        <v>0.96112359550568272</v>
      </c>
      <c r="C285" s="45">
        <f>'Water foot print'!AU113</f>
        <v>0.9167555555555964</v>
      </c>
      <c r="D285" s="45">
        <f>'Water foot print'!AV113</f>
        <v>1.1184359550561567</v>
      </c>
      <c r="E285" s="28">
        <f t="shared" si="91"/>
        <v>2.9963151061174358</v>
      </c>
      <c r="F285" s="28">
        <f t="shared" ref="F285:F286" si="98">E285/3</f>
        <v>0.99877170203914523</v>
      </c>
    </row>
    <row r="286" spans="1:18" x14ac:dyDescent="0.25">
      <c r="A286" s="27" t="s">
        <v>58</v>
      </c>
      <c r="B286" s="45">
        <f>'Water foot print'!AT114</f>
        <v>0.8074378947369496</v>
      </c>
      <c r="C286" s="45">
        <f>'Water foot print'!AU114</f>
        <v>0.63980000000003656</v>
      </c>
      <c r="D286" s="45">
        <f>'Water foot print'!AV114</f>
        <v>0.83248953974907636</v>
      </c>
      <c r="E286" s="28">
        <f t="shared" si="91"/>
        <v>2.2797274344860625</v>
      </c>
      <c r="F286" s="28">
        <f t="shared" si="98"/>
        <v>0.75990914482868754</v>
      </c>
    </row>
    <row r="287" spans="1:18" x14ac:dyDescent="0.25">
      <c r="A287" s="25" t="s">
        <v>20</v>
      </c>
      <c r="B287" s="28">
        <f>SUM(B269:B286)</f>
        <v>27.900813747814595</v>
      </c>
      <c r="C287" s="28">
        <f t="shared" ref="C287:D287" si="99">SUM(C269:C286)</f>
        <v>28.209470648068873</v>
      </c>
      <c r="D287" s="28">
        <f t="shared" si="99"/>
        <v>27.771351470904392</v>
      </c>
      <c r="E287" s="28">
        <f>SUM(E269:E286)</f>
        <v>83.88163586678786</v>
      </c>
      <c r="F287" s="28">
        <f>AVERAGE(B269:D286)</f>
        <v>1.5533636271627382</v>
      </c>
    </row>
    <row r="288" spans="1:18" x14ac:dyDescent="0.25">
      <c r="A288" s="25" t="s">
        <v>11</v>
      </c>
      <c r="B288" s="28">
        <f>B287/18</f>
        <v>1.550045208211922</v>
      </c>
      <c r="C288" s="28">
        <f>C287/18</f>
        <v>1.567192813781604</v>
      </c>
      <c r="D288" s="28">
        <f>D287/18</f>
        <v>1.5428528594946884</v>
      </c>
    </row>
    <row r="289" spans="1:18" x14ac:dyDescent="0.25">
      <c r="A289" s="25" t="s">
        <v>59</v>
      </c>
      <c r="B289" s="28">
        <f>(E287*E287)/54</f>
        <v>130.29868214237763</v>
      </c>
      <c r="C289" s="28"/>
      <c r="D289" s="28"/>
    </row>
    <row r="290" spans="1:18" x14ac:dyDescent="0.25">
      <c r="A290" s="25" t="s">
        <v>60</v>
      </c>
      <c r="B290" s="28">
        <f>SUMSQ(B269:D286)-B289</f>
        <v>29.165169483893976</v>
      </c>
      <c r="C290" s="25" t="s">
        <v>61</v>
      </c>
      <c r="D290" s="28">
        <f>(SUMSQ(B287:D287)/18)-B289</f>
        <v>5.6292217891780183E-3</v>
      </c>
    </row>
    <row r="291" spans="1:18" x14ac:dyDescent="0.25">
      <c r="A291" s="25" t="s">
        <v>62</v>
      </c>
      <c r="B291" s="28">
        <f>(SUMSQ(E269:E286)/3)-B289</f>
        <v>27.321187086965978</v>
      </c>
      <c r="C291" s="25" t="s">
        <v>63</v>
      </c>
      <c r="D291" s="28">
        <f>B290-B291-D290</f>
        <v>1.8383531751388205</v>
      </c>
    </row>
    <row r="295" spans="1:18" x14ac:dyDescent="0.25">
      <c r="C295" s="17"/>
    </row>
    <row r="296" spans="1:18" ht="15.75" x14ac:dyDescent="0.25">
      <c r="C296" s="18" t="s">
        <v>103</v>
      </c>
    </row>
    <row r="298" spans="1:18" x14ac:dyDescent="0.25">
      <c r="A298" s="19" t="s">
        <v>13</v>
      </c>
      <c r="B298" s="20">
        <v>2</v>
      </c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2"/>
      <c r="N298" s="22"/>
      <c r="O298" s="21"/>
      <c r="P298" s="21"/>
    </row>
    <row r="299" spans="1:18" x14ac:dyDescent="0.25">
      <c r="A299" s="19" t="s">
        <v>14</v>
      </c>
      <c r="B299" s="20">
        <v>9</v>
      </c>
      <c r="C299" s="21" t="s">
        <v>15</v>
      </c>
      <c r="D299" s="21">
        <v>18</v>
      </c>
      <c r="E299" s="21"/>
      <c r="F299" s="21"/>
      <c r="G299" s="21"/>
      <c r="H299" s="21"/>
      <c r="I299" s="21"/>
      <c r="J299" s="21"/>
      <c r="K299" s="21"/>
      <c r="L299" s="21"/>
      <c r="M299" s="22"/>
      <c r="N299" s="22"/>
      <c r="O299" s="21"/>
      <c r="P299" s="21"/>
    </row>
    <row r="300" spans="1:18" x14ac:dyDescent="0.25">
      <c r="A300" s="15" t="s">
        <v>16</v>
      </c>
      <c r="B300" s="23">
        <v>3</v>
      </c>
    </row>
    <row r="301" spans="1:18" x14ac:dyDescent="0.25">
      <c r="A301" s="24" t="s">
        <v>0</v>
      </c>
      <c r="B301" s="25" t="s">
        <v>17</v>
      </c>
      <c r="C301" s="25" t="s">
        <v>18</v>
      </c>
      <c r="D301" s="25" t="s">
        <v>19</v>
      </c>
      <c r="E301" s="25" t="s">
        <v>20</v>
      </c>
      <c r="F301" s="25" t="s">
        <v>11</v>
      </c>
      <c r="O301" s="16" t="s">
        <v>21</v>
      </c>
    </row>
    <row r="302" spans="1:18" x14ac:dyDescent="0.25">
      <c r="A302" s="27" t="s">
        <v>22</v>
      </c>
      <c r="B302" s="7">
        <f>B205+B237+B269</f>
        <v>3009.6301886792448</v>
      </c>
      <c r="C302" s="7">
        <f t="shared" ref="C302:D302" si="100">C205+C237+C269</f>
        <v>3996.0412844036687</v>
      </c>
      <c r="D302" s="7">
        <f t="shared" si="100"/>
        <v>3490.9889643463498</v>
      </c>
      <c r="E302" s="28">
        <f t="shared" ref="E302:E319" si="101">SUM(B302:D302)</f>
        <v>10496.660437429264</v>
      </c>
      <c r="F302" s="28">
        <f>E302/3</f>
        <v>3498.8868124764213</v>
      </c>
      <c r="H302" s="29"/>
      <c r="I302" s="29"/>
      <c r="J302" s="29" t="s">
        <v>23</v>
      </c>
      <c r="K302" s="29"/>
      <c r="L302" s="29"/>
      <c r="M302" s="29"/>
      <c r="N302" s="29"/>
      <c r="O302" s="30">
        <v>1</v>
      </c>
      <c r="P302" s="28">
        <f>SUM(F302:F310)/9</f>
        <v>1768.079298878077</v>
      </c>
      <c r="Q302" s="31" t="e">
        <f>RANK(P302,P$138:P$139,0)</f>
        <v>#N/A</v>
      </c>
      <c r="R302" s="17">
        <v>1</v>
      </c>
    </row>
    <row r="303" spans="1:18" x14ac:dyDescent="0.25">
      <c r="A303" s="27" t="s">
        <v>24</v>
      </c>
      <c r="B303" s="7">
        <f t="shared" ref="B303:D303" si="102">B206+B238+B270</f>
        <v>1677</v>
      </c>
      <c r="C303" s="7">
        <f t="shared" si="102"/>
        <v>1718.7712082262215</v>
      </c>
      <c r="D303" s="7">
        <f t="shared" si="102"/>
        <v>1905.9021739130435</v>
      </c>
      <c r="E303" s="28">
        <f t="shared" si="101"/>
        <v>5301.6733821392645</v>
      </c>
      <c r="F303" s="28">
        <f t="shared" ref="F303:F316" si="103">E303/3</f>
        <v>1767.2244607130881</v>
      </c>
      <c r="G303" s="28"/>
      <c r="H303" s="25" t="s">
        <v>25</v>
      </c>
      <c r="I303" s="25" t="s">
        <v>26</v>
      </c>
      <c r="J303" s="25" t="s">
        <v>27</v>
      </c>
      <c r="K303" s="25" t="s">
        <v>28</v>
      </c>
      <c r="L303" s="25" t="s">
        <v>29</v>
      </c>
      <c r="M303" s="25" t="s">
        <v>30</v>
      </c>
      <c r="N303" s="32"/>
      <c r="O303" s="30">
        <v>2</v>
      </c>
      <c r="P303" s="28">
        <f>SUM(F311:F319)/9</f>
        <v>1338.647955447246</v>
      </c>
      <c r="Q303" s="31" t="e">
        <f>RANK(P303,P$138:P$139,0)</f>
        <v>#N/A</v>
      </c>
      <c r="R303" s="17">
        <v>2</v>
      </c>
    </row>
    <row r="304" spans="1:18" x14ac:dyDescent="0.25">
      <c r="A304" s="27" t="s">
        <v>31</v>
      </c>
      <c r="B304" s="7">
        <f t="shared" ref="B304:D304" si="104">B207+B239+B271</f>
        <v>1837.0889787664307</v>
      </c>
      <c r="C304" s="7">
        <f t="shared" si="104"/>
        <v>1555.8440366972477</v>
      </c>
      <c r="D304" s="7">
        <f t="shared" si="104"/>
        <v>1541.9280898876402</v>
      </c>
      <c r="E304" s="28">
        <f t="shared" si="101"/>
        <v>4934.8611053513187</v>
      </c>
      <c r="F304" s="28">
        <f t="shared" si="103"/>
        <v>1644.9537017837729</v>
      </c>
      <c r="G304" s="28" t="s">
        <v>32</v>
      </c>
      <c r="H304" s="28">
        <f>B300-1</f>
        <v>2</v>
      </c>
      <c r="I304" s="28">
        <f>D323</f>
        <v>5629.2217891663313</v>
      </c>
      <c r="J304" s="28">
        <f>I304/H304</f>
        <v>2814.6108945831656</v>
      </c>
      <c r="K304" s="28">
        <f>J304/$J$16</f>
        <v>5671075.0383667015</v>
      </c>
      <c r="L304" s="28">
        <f>FINV(0.05,H304,$H$16)</f>
        <v>3.275897990672394</v>
      </c>
      <c r="M304" s="28" t="str">
        <f>IF(K304&gt;=L304, "S", "NS")</f>
        <v>S</v>
      </c>
      <c r="N304" s="21"/>
      <c r="O304" s="25" t="s">
        <v>33</v>
      </c>
      <c r="P304" s="33">
        <f>SQRT(J309/(3*9))</f>
        <v>44.750009738671601</v>
      </c>
    </row>
    <row r="305" spans="1:18" x14ac:dyDescent="0.25">
      <c r="A305" s="27" t="s">
        <v>34</v>
      </c>
      <c r="B305" s="7">
        <f t="shared" ref="B305:D305" si="105">B208+B240+B272</f>
        <v>1658.0653266331656</v>
      </c>
      <c r="C305" s="7">
        <f t="shared" si="105"/>
        <v>1699.9035532994922</v>
      </c>
      <c r="D305" s="7">
        <f t="shared" si="105"/>
        <v>1604.8578431372543</v>
      </c>
      <c r="E305" s="28">
        <f t="shared" si="101"/>
        <v>4962.8267230699121</v>
      </c>
      <c r="F305" s="28">
        <f t="shared" si="103"/>
        <v>1654.2755743566374</v>
      </c>
      <c r="G305" s="28" t="s">
        <v>35</v>
      </c>
      <c r="H305" s="28">
        <f>D299-1</f>
        <v>17</v>
      </c>
      <c r="I305" s="28">
        <f>B324</f>
        <v>27321187.086968586</v>
      </c>
      <c r="J305" s="28">
        <f t="shared" ref="J305:J309" si="106">I305/H305</f>
        <v>1607128.6521746228</v>
      </c>
      <c r="K305" s="28">
        <f>J305/$J$16</f>
        <v>3238155298.9551678</v>
      </c>
      <c r="L305" s="28">
        <f>FINV(0.05,H305,$H$16)</f>
        <v>1.9332068318040869</v>
      </c>
      <c r="M305" s="34" t="str">
        <f t="shared" ref="M305" si="107">IF(K305&gt;=L305, "S", "NS")</f>
        <v>S</v>
      </c>
      <c r="N305" s="25" t="s">
        <v>36</v>
      </c>
      <c r="O305" s="25" t="s">
        <v>37</v>
      </c>
      <c r="P305" s="33">
        <f>SQRT((2*J309)/(3*9))*L310</f>
        <v>128.6127696735204</v>
      </c>
    </row>
    <row r="306" spans="1:18" x14ac:dyDescent="0.25">
      <c r="A306" s="27" t="s">
        <v>38</v>
      </c>
      <c r="B306" s="7">
        <f t="shared" ref="B306:D306" si="108">B209+B241+B273</f>
        <v>1610.3645569620253</v>
      </c>
      <c r="C306" s="7">
        <f t="shared" si="108"/>
        <v>1803.0326086956522</v>
      </c>
      <c r="D306" s="7">
        <f t="shared" si="108"/>
        <v>1970.968115942029</v>
      </c>
      <c r="E306" s="28">
        <f t="shared" si="101"/>
        <v>5384.3652815997066</v>
      </c>
      <c r="F306" s="28">
        <f t="shared" si="103"/>
        <v>1794.7884271999021</v>
      </c>
      <c r="G306" s="28" t="s">
        <v>39</v>
      </c>
      <c r="H306" s="28">
        <f>B298-1</f>
        <v>1</v>
      </c>
      <c r="I306" s="28">
        <f>(SUM(E302:E310)^2+SUM(E311:E319)^2)/27-B322</f>
        <v>2489552.2627309114</v>
      </c>
      <c r="J306" s="28">
        <f t="shared" si="106"/>
        <v>2489552.2627309114</v>
      </c>
      <c r="K306" s="28">
        <f>J306/$J$16</f>
        <v>5016124154.5160379</v>
      </c>
      <c r="L306" s="28">
        <f>FINV(0.05,H306,$H$16)</f>
        <v>4.1300177456520188</v>
      </c>
      <c r="M306" s="28" t="str">
        <f>IF(K306&gt;=L306, "S", "NS")</f>
        <v>S</v>
      </c>
      <c r="N306" s="21"/>
      <c r="O306" s="30">
        <v>1</v>
      </c>
      <c r="P306" s="28">
        <f>(F302+F311)/2</f>
        <v>3390.3954959870507</v>
      </c>
      <c r="Q306" s="31" t="e">
        <f>RANK(P306,P$142:P$150,0)</f>
        <v>#N/A</v>
      </c>
      <c r="R306" s="35">
        <v>9</v>
      </c>
    </row>
    <row r="307" spans="1:18" x14ac:dyDescent="0.25">
      <c r="A307" s="27" t="s">
        <v>40</v>
      </c>
      <c r="B307" s="7">
        <f t="shared" ref="B307:D307" si="109">B210+B242+B274</f>
        <v>1462.9506726457405</v>
      </c>
      <c r="C307" s="7">
        <f t="shared" si="109"/>
        <v>1506.8584474885847</v>
      </c>
      <c r="D307" s="7">
        <f t="shared" si="109"/>
        <v>1560.0514018691597</v>
      </c>
      <c r="E307" s="28">
        <f t="shared" si="101"/>
        <v>4529.8605220034842</v>
      </c>
      <c r="F307" s="28">
        <f t="shared" si="103"/>
        <v>1509.9535073344948</v>
      </c>
      <c r="G307" s="28" t="s">
        <v>41</v>
      </c>
      <c r="H307" s="28">
        <f>B299-1</f>
        <v>8</v>
      </c>
      <c r="I307" s="28">
        <f>((E302+E311)^2+(E303+E312)^2+(E304+E313)^2+(E305+E314)^2+(E306+E315)^2+(E307+E316)^2+(E308+E317)^2+(E309+E318)^2+(E310+E319)^2/6)-B322</f>
        <v>767348738.05052984</v>
      </c>
      <c r="J307" s="28">
        <f t="shared" si="106"/>
        <v>95918592.25631623</v>
      </c>
      <c r="K307" s="28">
        <f>J307/$J$16</f>
        <v>193263493475.04654</v>
      </c>
      <c r="L307" s="28">
        <f>FINV(0.05,H307,$H$16)</f>
        <v>2.2253399674380931</v>
      </c>
      <c r="M307" s="28" t="str">
        <f>IF(K307&gt;=L307, "S", "NS")</f>
        <v>S</v>
      </c>
      <c r="N307" s="21"/>
      <c r="O307" s="30">
        <v>2</v>
      </c>
      <c r="P307" s="28">
        <f t="shared" ref="P307:P314" si="110">(F303+F312)/2</f>
        <v>1536.1667349973834</v>
      </c>
      <c r="Q307" s="31" t="e">
        <f t="shared" ref="Q307:Q314" si="111">RANK(P307,P$142:P$150,0)</f>
        <v>#N/A</v>
      </c>
      <c r="R307" s="37">
        <v>5</v>
      </c>
    </row>
    <row r="308" spans="1:18" x14ac:dyDescent="0.25">
      <c r="A308" s="27" t="s">
        <v>42</v>
      </c>
      <c r="B308" s="7">
        <f t="shared" ref="B308:D308" si="112">B211+B243+B275</f>
        <v>1268.8430107526879</v>
      </c>
      <c r="C308" s="7">
        <f t="shared" si="112"/>
        <v>1344.6175869120657</v>
      </c>
      <c r="D308" s="7">
        <f t="shared" si="112"/>
        <v>1496.3859649122803</v>
      </c>
      <c r="E308" s="28">
        <f t="shared" si="101"/>
        <v>4109.8465625770341</v>
      </c>
      <c r="F308" s="28">
        <f t="shared" si="103"/>
        <v>1369.9488541923447</v>
      </c>
      <c r="G308" s="38" t="s">
        <v>43</v>
      </c>
      <c r="H308" s="28">
        <f>H306*H307</f>
        <v>8</v>
      </c>
      <c r="I308" s="28">
        <f>I305-(I306+I307)</f>
        <v>-742517103.22629225</v>
      </c>
      <c r="J308" s="28">
        <f t="shared" si="106"/>
        <v>-92814637.903286532</v>
      </c>
      <c r="K308" s="39">
        <f>J308/$J$16</f>
        <v>-187009428984.08133</v>
      </c>
      <c r="L308" s="28">
        <f>FINV(0.05,H308,$H$16)</f>
        <v>2.2253399674380931</v>
      </c>
      <c r="M308" s="28" t="str">
        <f t="shared" ref="M308" si="113">IF(K308&gt;=L308, "S", "NS")</f>
        <v>NS</v>
      </c>
      <c r="N308" s="21"/>
      <c r="O308" s="30">
        <v>3</v>
      </c>
      <c r="P308" s="28">
        <f t="shared" si="110"/>
        <v>1580.3550715599422</v>
      </c>
      <c r="Q308" s="31" t="e">
        <f t="shared" si="111"/>
        <v>#N/A</v>
      </c>
      <c r="R308" s="37">
        <v>2</v>
      </c>
    </row>
    <row r="309" spans="1:18" x14ac:dyDescent="0.25">
      <c r="A309" s="27" t="s">
        <v>44</v>
      </c>
      <c r="B309" s="7">
        <f t="shared" ref="B309:D309" si="114">B212+B244+B276</f>
        <v>1374.5353535353534</v>
      </c>
      <c r="C309" s="7">
        <f t="shared" si="114"/>
        <v>1409.7674897119339</v>
      </c>
      <c r="D309" s="7">
        <f t="shared" si="114"/>
        <v>1511.1505376344082</v>
      </c>
      <c r="E309" s="28">
        <f t="shared" si="101"/>
        <v>4295.4533808816959</v>
      </c>
      <c r="F309" s="28">
        <f t="shared" si="103"/>
        <v>1431.817793627232</v>
      </c>
      <c r="G309" s="40" t="s">
        <v>45</v>
      </c>
      <c r="H309" s="28">
        <f>((B300-1)*(B298*B299-1))</f>
        <v>34</v>
      </c>
      <c r="I309" s="28">
        <f>D324</f>
        <v>1838353.1751390845</v>
      </c>
      <c r="J309" s="28">
        <f t="shared" si="106"/>
        <v>54069.211033502484</v>
      </c>
      <c r="O309" s="30">
        <v>4</v>
      </c>
      <c r="P309" s="28">
        <f t="shared" si="110"/>
        <v>1393.2458261058487</v>
      </c>
      <c r="Q309" s="31" t="e">
        <f t="shared" si="111"/>
        <v>#N/A</v>
      </c>
      <c r="R309" s="37">
        <v>7</v>
      </c>
    </row>
    <row r="310" spans="1:18" x14ac:dyDescent="0.25">
      <c r="A310" s="27" t="s">
        <v>46</v>
      </c>
      <c r="B310" s="7">
        <f t="shared" ref="B310:D310" si="115">B213+B245+B277</f>
        <v>1140.3422053231941</v>
      </c>
      <c r="C310" s="7">
        <f t="shared" si="115"/>
        <v>1270.3700787401576</v>
      </c>
      <c r="D310" s="7">
        <f t="shared" si="115"/>
        <v>1311.8813905930472</v>
      </c>
      <c r="E310" s="28">
        <f t="shared" si="101"/>
        <v>3722.5936746563993</v>
      </c>
      <c r="F310" s="28">
        <f t="shared" si="103"/>
        <v>1240.8645582187999</v>
      </c>
      <c r="G310" s="39" t="s">
        <v>20</v>
      </c>
      <c r="H310" s="28">
        <f>SUM(H304:H309)-H305</f>
        <v>53</v>
      </c>
      <c r="I310" s="28">
        <f>B323</f>
        <v>29165169.483896837</v>
      </c>
      <c r="K310" s="28" t="s">
        <v>47</v>
      </c>
      <c r="L310" s="16">
        <f>TINV(0.05,34)</f>
        <v>2.0322445093177191</v>
      </c>
      <c r="O310" s="30">
        <v>5</v>
      </c>
      <c r="P310" s="28">
        <f t="shared" si="110"/>
        <v>1399.9517128848897</v>
      </c>
      <c r="Q310" s="31" t="e">
        <f t="shared" si="111"/>
        <v>#N/A</v>
      </c>
      <c r="R310" s="35">
        <v>3</v>
      </c>
    </row>
    <row r="311" spans="1:18" x14ac:dyDescent="0.25">
      <c r="A311" s="27" t="s">
        <v>48</v>
      </c>
      <c r="B311" s="7">
        <f t="shared" ref="B311:D311" si="116">B214+B246+B278</f>
        <v>3908.2587064676613</v>
      </c>
      <c r="C311" s="7">
        <f t="shared" si="116"/>
        <v>3314.6991150442477</v>
      </c>
      <c r="D311" s="7">
        <f t="shared" si="116"/>
        <v>2622.7547169811328</v>
      </c>
      <c r="E311" s="28">
        <f t="shared" si="101"/>
        <v>9845.7125384930423</v>
      </c>
      <c r="F311" s="28">
        <f t="shared" si="103"/>
        <v>3281.9041794976806</v>
      </c>
      <c r="G311" s="42" t="s">
        <v>33</v>
      </c>
      <c r="H311" s="28">
        <f>SQRT(J309/3)</f>
        <v>134.25002921601481</v>
      </c>
      <c r="O311" s="30">
        <v>6</v>
      </c>
      <c r="P311" s="28">
        <f t="shared" si="110"/>
        <v>1210.086621000898</v>
      </c>
      <c r="Q311" s="31" t="e">
        <f t="shared" si="111"/>
        <v>#N/A</v>
      </c>
      <c r="R311" s="37">
        <v>1</v>
      </c>
    </row>
    <row r="312" spans="1:18" x14ac:dyDescent="0.25">
      <c r="A312" s="27" t="s">
        <v>49</v>
      </c>
      <c r="B312" s="7">
        <f t="shared" ref="B312:D312" si="117">B215+B247+B279</f>
        <v>1244.3125</v>
      </c>
      <c r="C312" s="7">
        <f t="shared" si="117"/>
        <v>1298.2857142857144</v>
      </c>
      <c r="D312" s="7">
        <f t="shared" si="117"/>
        <v>1372.7288135593219</v>
      </c>
      <c r="E312" s="28">
        <f t="shared" si="101"/>
        <v>3915.3270278450364</v>
      </c>
      <c r="F312" s="28">
        <f t="shared" si="103"/>
        <v>1305.1090092816787</v>
      </c>
      <c r="G312" s="42" t="s">
        <v>37</v>
      </c>
      <c r="H312" s="28">
        <f>(SQRT((2*J309)/3))*L310</f>
        <v>385.83830902056116</v>
      </c>
      <c r="O312" s="30">
        <v>7</v>
      </c>
      <c r="P312" s="28">
        <f t="shared" si="110"/>
        <v>1254.3895825710665</v>
      </c>
      <c r="Q312" s="31" t="e">
        <f t="shared" si="111"/>
        <v>#N/A</v>
      </c>
      <c r="R312" s="37">
        <v>6</v>
      </c>
    </row>
    <row r="313" spans="1:18" x14ac:dyDescent="0.25">
      <c r="A313" s="27" t="s">
        <v>50</v>
      </c>
      <c r="B313" s="7">
        <f t="shared" ref="B313:D313" si="118">B216+B248+B280</f>
        <v>1430.2512562814072</v>
      </c>
      <c r="C313" s="7">
        <f t="shared" si="118"/>
        <v>1677.0940170940171</v>
      </c>
      <c r="D313" s="7">
        <f t="shared" si="118"/>
        <v>1439.9240506329115</v>
      </c>
      <c r="E313" s="28">
        <f t="shared" si="101"/>
        <v>4547.2693240083354</v>
      </c>
      <c r="F313" s="28">
        <f t="shared" si="103"/>
        <v>1515.7564413361117</v>
      </c>
      <c r="G313" s="42" t="s">
        <v>51</v>
      </c>
      <c r="H313" s="28">
        <f>((SQRT(J309))/F320)*100</f>
        <v>14.969313524127889</v>
      </c>
      <c r="O313" s="30">
        <v>8</v>
      </c>
      <c r="P313" s="28">
        <f t="shared" si="110"/>
        <v>1215.2947478331748</v>
      </c>
      <c r="Q313" s="31" t="e">
        <f t="shared" si="111"/>
        <v>#N/A</v>
      </c>
      <c r="R313" s="35">
        <v>4</v>
      </c>
    </row>
    <row r="314" spans="1:18" x14ac:dyDescent="0.25">
      <c r="A314" s="27" t="s">
        <v>52</v>
      </c>
      <c r="B314" s="7">
        <f t="shared" ref="B314:D314" si="119">B217+B249+B281</f>
        <v>1058.0345679012346</v>
      </c>
      <c r="C314" s="7">
        <f t="shared" si="119"/>
        <v>1339.2290502793296</v>
      </c>
      <c r="D314" s="7">
        <f t="shared" si="119"/>
        <v>999.38461538461513</v>
      </c>
      <c r="E314" s="28">
        <f t="shared" si="101"/>
        <v>3396.6482335651795</v>
      </c>
      <c r="F314" s="28">
        <f t="shared" si="103"/>
        <v>1132.2160778550599</v>
      </c>
      <c r="O314" s="30">
        <v>9</v>
      </c>
      <c r="P314" s="28">
        <f t="shared" si="110"/>
        <v>1000.3868515236993</v>
      </c>
      <c r="Q314" s="31" t="e">
        <f t="shared" si="111"/>
        <v>#N/A</v>
      </c>
      <c r="R314" s="37">
        <v>8</v>
      </c>
    </row>
    <row r="315" spans="1:18" x14ac:dyDescent="0.25">
      <c r="A315" s="27" t="s">
        <v>53</v>
      </c>
      <c r="B315" s="7">
        <f t="shared" ref="B315:D315" si="120">B218+B250+B282</f>
        <v>1069.8876404494383</v>
      </c>
      <c r="C315" s="7">
        <f t="shared" si="120"/>
        <v>857.00518134715003</v>
      </c>
      <c r="D315" s="7">
        <f t="shared" si="120"/>
        <v>1088.4521739130435</v>
      </c>
      <c r="E315" s="28">
        <f t="shared" si="101"/>
        <v>3015.3449957096318</v>
      </c>
      <c r="F315" s="28">
        <f t="shared" si="103"/>
        <v>1005.1149985698772</v>
      </c>
      <c r="O315" s="25" t="s">
        <v>33</v>
      </c>
      <c r="P315" s="33">
        <f>SQRT(J309/(3*2))</f>
        <v>94.929106033136193</v>
      </c>
      <c r="Q315" s="31"/>
    </row>
    <row r="316" spans="1:18" x14ac:dyDescent="0.25">
      <c r="A316" s="27" t="s">
        <v>55</v>
      </c>
      <c r="B316" s="7">
        <f t="shared" ref="B316:D316" si="121">B219+B251+B283</f>
        <v>987.95662650602367</v>
      </c>
      <c r="C316" s="7">
        <f t="shared" si="121"/>
        <v>928.71361502347406</v>
      </c>
      <c r="D316" s="7">
        <f t="shared" si="121"/>
        <v>813.98896247240634</v>
      </c>
      <c r="E316" s="28">
        <f t="shared" si="101"/>
        <v>2730.6592040019041</v>
      </c>
      <c r="F316" s="28">
        <f t="shared" si="103"/>
        <v>910.2197346673014</v>
      </c>
      <c r="N316" s="25" t="s">
        <v>41</v>
      </c>
      <c r="O316" s="25" t="s">
        <v>37</v>
      </c>
      <c r="P316" s="33">
        <f>SQRT((2*J309)/(3*2))*L310</f>
        <v>272.82888474998947</v>
      </c>
      <c r="Q316" s="31"/>
    </row>
    <row r="317" spans="1:18" x14ac:dyDescent="0.25">
      <c r="A317" s="27" t="s">
        <v>56</v>
      </c>
      <c r="B317" s="7">
        <f t="shared" ref="B317:D317" si="122">B220+B252+B284</f>
        <v>1394.7306666666668</v>
      </c>
      <c r="C317" s="7">
        <f t="shared" si="122"/>
        <v>932.68210526315784</v>
      </c>
      <c r="D317" s="7">
        <f t="shared" si="122"/>
        <v>1089.0781609195401</v>
      </c>
      <c r="E317" s="28">
        <f t="shared" si="101"/>
        <v>3416.490932849365</v>
      </c>
      <c r="F317" s="28">
        <f>E317/3</f>
        <v>1138.8303109497883</v>
      </c>
      <c r="Q317" s="31"/>
    </row>
    <row r="318" spans="1:18" x14ac:dyDescent="0.25">
      <c r="A318" s="27" t="s">
        <v>57</v>
      </c>
      <c r="B318" s="7">
        <f t="shared" ref="B318:D318" si="123">B221+B253+B285</f>
        <v>961.1235955056178</v>
      </c>
      <c r="C318" s="7">
        <f t="shared" si="123"/>
        <v>916.75555555555536</v>
      </c>
      <c r="D318" s="7">
        <f t="shared" si="123"/>
        <v>1118.4359550561799</v>
      </c>
      <c r="E318" s="28">
        <f t="shared" si="101"/>
        <v>2996.315106117353</v>
      </c>
      <c r="F318" s="28">
        <f t="shared" ref="F318:F319" si="124">E318/3</f>
        <v>998.77170203911771</v>
      </c>
    </row>
    <row r="319" spans="1:18" x14ac:dyDescent="0.25">
      <c r="A319" s="27" t="s">
        <v>58</v>
      </c>
      <c r="B319" s="7">
        <f t="shared" ref="B319:D319" si="125">B222+B254+B286</f>
        <v>807.43789473684217</v>
      </c>
      <c r="C319" s="7">
        <f t="shared" si="125"/>
        <v>639.79999999999995</v>
      </c>
      <c r="D319" s="7">
        <f t="shared" si="125"/>
        <v>832.48953974895414</v>
      </c>
      <c r="E319" s="28">
        <f t="shared" si="101"/>
        <v>2279.727434485796</v>
      </c>
      <c r="F319" s="28">
        <f t="shared" si="124"/>
        <v>759.90914482859864</v>
      </c>
    </row>
    <row r="320" spans="1:18" x14ac:dyDescent="0.25">
      <c r="A320" s="25" t="s">
        <v>20</v>
      </c>
      <c r="B320" s="28">
        <f>SUM(B302:B319)</f>
        <v>27900.813747812732</v>
      </c>
      <c r="C320" s="28">
        <f>SUM(C302:C319)</f>
        <v>28209.470648067665</v>
      </c>
      <c r="D320" s="28">
        <f>SUM(D302:D319)</f>
        <v>27771.351470903312</v>
      </c>
      <c r="E320" s="28">
        <f>SUM(E302:E319)</f>
        <v>83881.635866783719</v>
      </c>
      <c r="F320" s="28">
        <f>AVERAGE(B302:D319)</f>
        <v>1553.3636271626615</v>
      </c>
    </row>
    <row r="321" spans="1:4" x14ac:dyDescent="0.25">
      <c r="A321" s="25" t="s">
        <v>11</v>
      </c>
      <c r="B321" s="28">
        <f>B320/18</f>
        <v>1550.0452082118184</v>
      </c>
      <c r="C321" s="28">
        <f>C320/18</f>
        <v>1567.1928137815369</v>
      </c>
      <c r="D321" s="28">
        <f>D320/18</f>
        <v>1542.8528594946283</v>
      </c>
    </row>
    <row r="322" spans="1:4" x14ac:dyDescent="0.25">
      <c r="A322" s="25" t="s">
        <v>59</v>
      </c>
      <c r="B322" s="28">
        <f>(E320*E320)/54</f>
        <v>130298682.14236476</v>
      </c>
      <c r="C322" s="28"/>
      <c r="D322" s="28"/>
    </row>
    <row r="323" spans="1:4" x14ac:dyDescent="0.25">
      <c r="A323" s="25" t="s">
        <v>60</v>
      </c>
      <c r="B323" s="28">
        <f>SUMSQ(B302:D319)-B322</f>
        <v>29165169.483896837</v>
      </c>
      <c r="C323" s="25" t="s">
        <v>61</v>
      </c>
      <c r="D323" s="28">
        <f>(SUMSQ(B320:D320)/18)-B322</f>
        <v>5629.2217891663313</v>
      </c>
    </row>
    <row r="324" spans="1:4" x14ac:dyDescent="0.25">
      <c r="A324" s="25" t="s">
        <v>62</v>
      </c>
      <c r="B324" s="28">
        <f>(SUMSQ(E302:E319)/3)-B322</f>
        <v>27321187.086968586</v>
      </c>
      <c r="C324" s="25" t="s">
        <v>63</v>
      </c>
      <c r="D324" s="28">
        <f>B323-B324-D323</f>
        <v>1838353.1751390845</v>
      </c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7"/>
  <sheetViews>
    <sheetView topLeftCell="A64" zoomScale="80" zoomScaleNormal="80" workbookViewId="0">
      <selection activeCell="I66" sqref="I66"/>
    </sheetView>
  </sheetViews>
  <sheetFormatPr defaultColWidth="8.85546875" defaultRowHeight="15" x14ac:dyDescent="0.25"/>
  <cols>
    <col min="1" max="1" width="17.7109375" style="15" bestFit="1" customWidth="1"/>
    <col min="2" max="2" width="13.5703125" style="16" bestFit="1" customWidth="1"/>
    <col min="3" max="3" width="11.42578125" style="16" customWidth="1"/>
    <col min="4" max="4" width="10.28515625" style="16" bestFit="1" customWidth="1"/>
    <col min="5" max="6" width="9.140625" style="16" bestFit="1" customWidth="1"/>
    <col min="7" max="7" width="10.7109375" style="16" bestFit="1" customWidth="1"/>
    <col min="8" max="8" width="9.140625" style="16" bestFit="1" customWidth="1"/>
    <col min="9" max="9" width="14.42578125" style="16" bestFit="1" customWidth="1"/>
    <col min="10" max="10" width="13.140625" style="16" bestFit="1" customWidth="1"/>
    <col min="11" max="11" width="13.42578125" style="16" bestFit="1" customWidth="1"/>
    <col min="12" max="12" width="9.140625" style="16" bestFit="1" customWidth="1"/>
    <col min="13" max="13" width="9.5703125" style="16" bestFit="1" customWidth="1"/>
    <col min="14" max="14" width="9.5703125" style="16" customWidth="1"/>
    <col min="15" max="15" width="9.140625" style="16" bestFit="1" customWidth="1"/>
    <col min="16" max="16" width="12.28515625" style="16" bestFit="1" customWidth="1"/>
    <col min="17" max="17" width="9.85546875" style="15" customWidth="1"/>
    <col min="18" max="16384" width="8.85546875" style="15"/>
  </cols>
  <sheetData>
    <row r="2" spans="1:21" x14ac:dyDescent="0.25">
      <c r="C2" s="83">
        <v>2019</v>
      </c>
    </row>
    <row r="3" spans="1:21" ht="15.75" x14ac:dyDescent="0.25">
      <c r="C3" s="84" t="s">
        <v>122</v>
      </c>
    </row>
    <row r="5" spans="1:21" x14ac:dyDescent="0.25">
      <c r="A5" s="19" t="s">
        <v>13</v>
      </c>
      <c r="B5" s="20">
        <v>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1"/>
      <c r="P5" s="21"/>
    </row>
    <row r="6" spans="1:21" x14ac:dyDescent="0.25">
      <c r="A6" s="19" t="s">
        <v>14</v>
      </c>
      <c r="B6" s="20">
        <v>9</v>
      </c>
      <c r="C6" s="21" t="s">
        <v>15</v>
      </c>
      <c r="D6" s="21">
        <v>18</v>
      </c>
      <c r="E6" s="21"/>
      <c r="F6" s="21"/>
      <c r="G6" s="21"/>
      <c r="H6" s="21"/>
      <c r="I6" s="21"/>
      <c r="J6" s="21"/>
      <c r="K6" s="21"/>
      <c r="L6" s="21"/>
      <c r="M6" s="22"/>
      <c r="N6" s="22"/>
      <c r="O6" s="21"/>
      <c r="P6" s="21"/>
    </row>
    <row r="7" spans="1:21" x14ac:dyDescent="0.25">
      <c r="A7" s="15" t="s">
        <v>16</v>
      </c>
      <c r="B7" s="23">
        <v>3</v>
      </c>
    </row>
    <row r="8" spans="1:21" x14ac:dyDescent="0.25">
      <c r="A8" s="24" t="s">
        <v>0</v>
      </c>
      <c r="B8" s="25" t="s">
        <v>17</v>
      </c>
      <c r="C8" s="25" t="s">
        <v>18</v>
      </c>
      <c r="D8" s="25" t="s">
        <v>19</v>
      </c>
      <c r="E8" s="25" t="s">
        <v>20</v>
      </c>
      <c r="F8" s="25" t="s">
        <v>11</v>
      </c>
      <c r="O8" s="16" t="s">
        <v>21</v>
      </c>
    </row>
    <row r="9" spans="1:21" x14ac:dyDescent="0.25">
      <c r="A9" s="27" t="s">
        <v>22</v>
      </c>
      <c r="B9" s="9">
        <v>4716.9811320754716</v>
      </c>
      <c r="C9" s="9">
        <v>5296.6101694915251</v>
      </c>
      <c r="D9" s="9">
        <v>5797.7736549165129</v>
      </c>
      <c r="E9" s="28">
        <f t="shared" ref="E9:E26" si="0">SUM(B9:D9)</f>
        <v>15811.36495648351</v>
      </c>
      <c r="F9" s="28">
        <f>E9/3</f>
        <v>5270.4549854945035</v>
      </c>
      <c r="H9" s="29"/>
      <c r="I9" s="29"/>
      <c r="J9" s="29" t="s">
        <v>23</v>
      </c>
      <c r="K9" s="29"/>
      <c r="L9" s="29"/>
      <c r="M9" s="29"/>
      <c r="N9" s="29"/>
      <c r="O9" s="30">
        <v>1</v>
      </c>
      <c r="P9" s="33">
        <f>SUM(F9:F17)/9</f>
        <v>2971.8920369919924</v>
      </c>
      <c r="Q9" s="31">
        <f>RANK(P9,P$9:P$10,0)</f>
        <v>1</v>
      </c>
    </row>
    <row r="10" spans="1:21" x14ac:dyDescent="0.25">
      <c r="A10" s="27" t="s">
        <v>24</v>
      </c>
      <c r="B10" s="9">
        <v>3031.0880829015541</v>
      </c>
      <c r="C10" s="9">
        <v>3095.2380952380954</v>
      </c>
      <c r="D10" s="9">
        <v>3232.0441988950274</v>
      </c>
      <c r="E10" s="28">
        <f t="shared" si="0"/>
        <v>9358.3703770346765</v>
      </c>
      <c r="F10" s="28">
        <f t="shared" ref="F10:F26" si="1">E10/3</f>
        <v>3119.4567923448922</v>
      </c>
      <c r="G10" s="28"/>
      <c r="H10" s="25" t="s">
        <v>25</v>
      </c>
      <c r="I10" s="25" t="s">
        <v>26</v>
      </c>
      <c r="J10" s="25" t="s">
        <v>27</v>
      </c>
      <c r="K10" s="25" t="s">
        <v>28</v>
      </c>
      <c r="L10" s="25" t="s">
        <v>29</v>
      </c>
      <c r="M10" s="25" t="s">
        <v>30</v>
      </c>
      <c r="N10" s="32"/>
      <c r="O10" s="30">
        <v>2</v>
      </c>
      <c r="P10" s="33">
        <f>SUM(F18:F26)/9</f>
        <v>2656.3433772780531</v>
      </c>
      <c r="Q10" s="31">
        <f>RANK(P10,P$9:P$10,0)</f>
        <v>2</v>
      </c>
    </row>
    <row r="11" spans="1:21" x14ac:dyDescent="0.25">
      <c r="A11" s="27" t="s">
        <v>31</v>
      </c>
      <c r="B11" s="9">
        <v>3084.8329048843189</v>
      </c>
      <c r="C11" s="9">
        <v>2843.6018957345968</v>
      </c>
      <c r="D11" s="9">
        <v>2758.6206896551726</v>
      </c>
      <c r="E11" s="28">
        <f t="shared" si="0"/>
        <v>8687.0554902740878</v>
      </c>
      <c r="F11" s="28">
        <f t="shared" si="1"/>
        <v>2895.6851634246959</v>
      </c>
      <c r="G11" s="28" t="s">
        <v>32</v>
      </c>
      <c r="H11" s="28">
        <f>B7-1</f>
        <v>2</v>
      </c>
      <c r="I11" s="28">
        <f>D30</f>
        <v>238845.644764781</v>
      </c>
      <c r="J11" s="28">
        <f>I11/H11</f>
        <v>119422.8223823905</v>
      </c>
      <c r="K11" s="28">
        <f>J11/$J$16</f>
        <v>0.77854860408902404</v>
      </c>
      <c r="L11" s="28">
        <f>FINV(0.05,H11,$H$16)</f>
        <v>3.275897990672394</v>
      </c>
      <c r="M11" s="28" t="str">
        <f>IF(K11&gt;=L11, "S", "NS")</f>
        <v>NS</v>
      </c>
      <c r="N11" s="21"/>
      <c r="O11" s="25" t="s">
        <v>33</v>
      </c>
      <c r="P11" s="33">
        <f>SQRT(J16/(3*9))</f>
        <v>75.373540922441322</v>
      </c>
      <c r="U11" s="52"/>
    </row>
    <row r="12" spans="1:21" x14ac:dyDescent="0.25">
      <c r="A12" s="27" t="s">
        <v>34</v>
      </c>
      <c r="B12" s="9">
        <v>2761.1940298507466</v>
      </c>
      <c r="C12" s="9">
        <v>2810.1265822784812</v>
      </c>
      <c r="D12" s="9">
        <v>2853.4704370179957</v>
      </c>
      <c r="E12" s="28">
        <f t="shared" si="0"/>
        <v>8424.791049147223</v>
      </c>
      <c r="F12" s="28">
        <f t="shared" si="1"/>
        <v>2808.2636830490742</v>
      </c>
      <c r="G12" s="28" t="s">
        <v>35</v>
      </c>
      <c r="H12" s="28">
        <f>D6-1</f>
        <v>17</v>
      </c>
      <c r="I12" s="28">
        <f>B31</f>
        <v>47328697.261334062</v>
      </c>
      <c r="J12" s="28">
        <f t="shared" ref="J12:J16" si="2">I12/H12</f>
        <v>2784041.015372592</v>
      </c>
      <c r="K12" s="28">
        <f>J12/$J$16</f>
        <v>18.149891310595343</v>
      </c>
      <c r="L12" s="28">
        <f>FINV(0.05,H12,$H$16)</f>
        <v>1.9332068318040869</v>
      </c>
      <c r="M12" s="34" t="str">
        <f t="shared" ref="M12:M15" si="3">IF(K12&gt;=L12, "S", "NS")</f>
        <v>S</v>
      </c>
      <c r="N12" s="25" t="s">
        <v>36</v>
      </c>
      <c r="O12" s="25" t="s">
        <v>37</v>
      </c>
      <c r="P12" s="33">
        <f>SQRT((2*J16)/(3*9))*L17</f>
        <v>216.62564801093995</v>
      </c>
    </row>
    <row r="13" spans="1:21" x14ac:dyDescent="0.25">
      <c r="A13" s="27" t="s">
        <v>38</v>
      </c>
      <c r="B13" s="9">
        <v>2876.7123287671234</v>
      </c>
      <c r="C13" s="9">
        <v>2941.1764705882351</v>
      </c>
      <c r="D13" s="9">
        <v>3017.2413793103451</v>
      </c>
      <c r="E13" s="28">
        <f t="shared" si="0"/>
        <v>8835.1301786657023</v>
      </c>
      <c r="F13" s="28">
        <f t="shared" si="1"/>
        <v>2945.0433928885673</v>
      </c>
      <c r="G13" s="28" t="s">
        <v>39</v>
      </c>
      <c r="H13" s="28">
        <f>B5-1</f>
        <v>1</v>
      </c>
      <c r="I13" s="28">
        <f>(SUM(E9:E17)^2+SUM(E18:E26)^2)/27-B29</f>
        <v>1344207.9147378802</v>
      </c>
      <c r="J13" s="28">
        <f t="shared" si="2"/>
        <v>1344207.9147378802</v>
      </c>
      <c r="K13" s="28">
        <f>J13/$J$16</f>
        <v>8.7632428605113155</v>
      </c>
      <c r="L13" s="28">
        <f>FINV(0.05,H13,$H$16)</f>
        <v>4.1300177456520188</v>
      </c>
      <c r="M13" s="28" t="str">
        <f>IF(K13&gt;=L13, "S", "NS")</f>
        <v>S</v>
      </c>
      <c r="N13" s="21"/>
      <c r="O13" s="30">
        <v>1</v>
      </c>
      <c r="P13" s="33">
        <f>(F9+F18)/2</f>
        <v>5289.1268067317214</v>
      </c>
      <c r="Q13" s="31">
        <f>RANK(P13,P$13:P$21,0)</f>
        <v>1</v>
      </c>
      <c r="R13" s="35">
        <v>1</v>
      </c>
    </row>
    <row r="14" spans="1:21" x14ac:dyDescent="0.25">
      <c r="A14" s="27" t="s">
        <v>40</v>
      </c>
      <c r="B14" s="9">
        <v>2505.7471264367819</v>
      </c>
      <c r="C14" s="9">
        <v>2564.705882352941</v>
      </c>
      <c r="D14" s="9">
        <v>2601.4319809069216</v>
      </c>
      <c r="E14" s="28">
        <f t="shared" si="0"/>
        <v>7671.884989696644</v>
      </c>
      <c r="F14" s="28">
        <f t="shared" si="1"/>
        <v>2557.294996565548</v>
      </c>
      <c r="G14" s="28" t="s">
        <v>41</v>
      </c>
      <c r="H14" s="28">
        <f>B6-1</f>
        <v>8</v>
      </c>
      <c r="I14" s="28">
        <f>((E9+E18)^2+(E10+E19)^2+(E11+E20)^2+(E12+E21)^2+(E13+E22)^2+(E14+E23)^2+(E15+E24)^2+(E16+E25)^2+(E17+E26)^2/6)-B29</f>
        <v>2298337797.3733797</v>
      </c>
      <c r="J14" s="28">
        <f t="shared" si="2"/>
        <v>287292224.67167246</v>
      </c>
      <c r="K14" s="28">
        <f>J14/$J$16</f>
        <v>1872.9331297125857</v>
      </c>
      <c r="L14" s="28">
        <f>FINV(0.05,H14,$H$16)</f>
        <v>2.2253399674380931</v>
      </c>
      <c r="M14" s="28" t="str">
        <f>IF(K14&gt;=L14, "S", "NS")</f>
        <v>S</v>
      </c>
      <c r="N14" s="21"/>
      <c r="O14" s="30">
        <v>2</v>
      </c>
      <c r="P14" s="33">
        <f t="shared" ref="P14:P21" si="4">(F10+F19)/2</f>
        <v>2882.280853566599</v>
      </c>
      <c r="Q14" s="31">
        <f t="shared" ref="Q14:Q21" si="5">RANK(P14,P$13:P$21,0)</f>
        <v>2</v>
      </c>
      <c r="R14" s="37">
        <v>2</v>
      </c>
    </row>
    <row r="15" spans="1:21" x14ac:dyDescent="0.25">
      <c r="A15" s="27" t="s">
        <v>42</v>
      </c>
      <c r="B15" s="9">
        <v>2510.9170305676857</v>
      </c>
      <c r="C15" s="9">
        <v>2415.9663865546217</v>
      </c>
      <c r="D15" s="9">
        <v>2584.2696629213483</v>
      </c>
      <c r="E15" s="28">
        <f t="shared" si="0"/>
        <v>7511.1530800436558</v>
      </c>
      <c r="F15" s="28">
        <f t="shared" si="1"/>
        <v>2503.7176933478854</v>
      </c>
      <c r="G15" s="38" t="s">
        <v>43</v>
      </c>
      <c r="H15" s="28">
        <f>H13*H14</f>
        <v>8</v>
      </c>
      <c r="I15" s="28">
        <f>I12-(I13+I14)</f>
        <v>-2252353308.0267835</v>
      </c>
      <c r="J15" s="28">
        <f t="shared" si="2"/>
        <v>-281544163.50334793</v>
      </c>
      <c r="K15" s="39">
        <f>J15/$J$16</f>
        <v>-1835.4600160351345</v>
      </c>
      <c r="L15" s="28">
        <f>FINV(0.05,H15,$H$16)</f>
        <v>2.2253399674380931</v>
      </c>
      <c r="M15" s="28" t="str">
        <f t="shared" si="3"/>
        <v>NS</v>
      </c>
      <c r="N15" s="21"/>
      <c r="O15" s="30">
        <v>3</v>
      </c>
      <c r="P15" s="33">
        <f t="shared" si="4"/>
        <v>2859.4371599735932</v>
      </c>
      <c r="Q15" s="31">
        <f t="shared" si="5"/>
        <v>3</v>
      </c>
      <c r="R15" s="37">
        <v>3</v>
      </c>
    </row>
    <row r="16" spans="1:21" x14ac:dyDescent="0.25">
      <c r="A16" s="27" t="s">
        <v>44</v>
      </c>
      <c r="B16" s="9">
        <v>2448.5596707818927</v>
      </c>
      <c r="C16" s="9">
        <v>2502.1026072329687</v>
      </c>
      <c r="D16" s="9">
        <v>2598.2532751091703</v>
      </c>
      <c r="E16" s="28">
        <f t="shared" si="0"/>
        <v>7548.9155531240312</v>
      </c>
      <c r="F16" s="28">
        <f t="shared" si="1"/>
        <v>2516.3051843746771</v>
      </c>
      <c r="G16" s="40" t="s">
        <v>45</v>
      </c>
      <c r="H16" s="28">
        <f>((B7-1)*(B5*B6-1))</f>
        <v>34</v>
      </c>
      <c r="I16" s="28">
        <f>D31</f>
        <v>5215314.6761496067</v>
      </c>
      <c r="J16" s="28">
        <f t="shared" si="2"/>
        <v>153391.60812204727</v>
      </c>
      <c r="O16" s="30">
        <v>4</v>
      </c>
      <c r="P16" s="33">
        <f t="shared" si="4"/>
        <v>2631.0156860425068</v>
      </c>
      <c r="Q16" s="31">
        <f t="shared" si="5"/>
        <v>4</v>
      </c>
      <c r="R16" s="37">
        <v>4</v>
      </c>
    </row>
    <row r="17" spans="1:18" x14ac:dyDescent="0.25">
      <c r="A17" s="27" t="s">
        <v>46</v>
      </c>
      <c r="B17" s="9">
        <v>2046.3320463320465</v>
      </c>
      <c r="C17" s="9">
        <v>2128.5140562248998</v>
      </c>
      <c r="D17" s="9">
        <v>2217.5732217573227</v>
      </c>
      <c r="E17" s="28">
        <f t="shared" si="0"/>
        <v>6392.419324314269</v>
      </c>
      <c r="F17" s="28">
        <f t="shared" si="1"/>
        <v>2130.8064414380897</v>
      </c>
      <c r="G17" s="39" t="s">
        <v>20</v>
      </c>
      <c r="H17" s="28">
        <f>SUM(H11:H16)-H12</f>
        <v>53</v>
      </c>
      <c r="I17" s="28">
        <f>B30</f>
        <v>52782857.582248449</v>
      </c>
      <c r="K17" s="28" t="s">
        <v>47</v>
      </c>
      <c r="L17" s="16">
        <f>TINV(0.05,34)</f>
        <v>2.0322445093177191</v>
      </c>
      <c r="O17" s="30">
        <v>5</v>
      </c>
      <c r="P17" s="33">
        <f t="shared" si="4"/>
        <v>2626.7444772605163</v>
      </c>
      <c r="Q17" s="31">
        <f t="shared" si="5"/>
        <v>5</v>
      </c>
      <c r="R17" s="35">
        <v>5</v>
      </c>
    </row>
    <row r="18" spans="1:18" x14ac:dyDescent="0.25">
      <c r="A18" s="27" t="s">
        <v>48</v>
      </c>
      <c r="B18" s="9">
        <v>4113.2075471698117</v>
      </c>
      <c r="C18" s="9">
        <v>6987.1794871794873</v>
      </c>
      <c r="D18" s="9">
        <v>4823.0088495575219</v>
      </c>
      <c r="E18" s="28">
        <f t="shared" si="0"/>
        <v>15923.395883906822</v>
      </c>
      <c r="F18" s="28">
        <f t="shared" si="1"/>
        <v>5307.7986279689403</v>
      </c>
      <c r="G18" s="42" t="s">
        <v>33</v>
      </c>
      <c r="H18" s="28">
        <f>SQRT(J16/3)</f>
        <v>226.12062276732397</v>
      </c>
      <c r="O18" s="30">
        <v>6</v>
      </c>
      <c r="P18" s="33">
        <f t="shared" si="4"/>
        <v>2327.6290711137017</v>
      </c>
      <c r="Q18" s="31">
        <f t="shared" si="5"/>
        <v>8</v>
      </c>
      <c r="R18" s="37">
        <v>8</v>
      </c>
    </row>
    <row r="19" spans="1:18" x14ac:dyDescent="0.25">
      <c r="A19" s="27" t="s">
        <v>49</v>
      </c>
      <c r="B19" s="9">
        <v>2690.217391304348</v>
      </c>
      <c r="C19" s="9">
        <v>2757.6601671309195</v>
      </c>
      <c r="D19" s="9">
        <v>2487.4371859296484</v>
      </c>
      <c r="E19" s="28">
        <f t="shared" si="0"/>
        <v>7935.3147443649159</v>
      </c>
      <c r="F19" s="28">
        <f t="shared" si="1"/>
        <v>2645.1049147883055</v>
      </c>
      <c r="G19" s="42" t="s">
        <v>37</v>
      </c>
      <c r="H19" s="28">
        <f>(SQRT((2*J16)/3))*L17</f>
        <v>649.87694403281978</v>
      </c>
      <c r="L19" s="16">
        <f>P9-P10</f>
        <v>315.54865971393929</v>
      </c>
      <c r="O19" s="30">
        <v>7</v>
      </c>
      <c r="P19" s="33">
        <f t="shared" si="4"/>
        <v>2417.5627922752547</v>
      </c>
      <c r="Q19" s="31">
        <f t="shared" si="5"/>
        <v>6</v>
      </c>
      <c r="R19" s="37">
        <v>6</v>
      </c>
    </row>
    <row r="20" spans="1:18" x14ac:dyDescent="0.25">
      <c r="A20" s="27" t="s">
        <v>50</v>
      </c>
      <c r="B20" s="9">
        <v>2753.2467532467531</v>
      </c>
      <c r="C20" s="9">
        <v>2912.0879120879122</v>
      </c>
      <c r="D20" s="9">
        <v>2804.2328042328045</v>
      </c>
      <c r="E20" s="28">
        <f t="shared" si="0"/>
        <v>8469.5674695674697</v>
      </c>
      <c r="F20" s="28">
        <f t="shared" si="1"/>
        <v>2823.1891565224901</v>
      </c>
      <c r="G20" s="42" t="s">
        <v>51</v>
      </c>
      <c r="H20" s="28">
        <f>((SQRT(J16))/F27)*100</f>
        <v>13.917413840903317</v>
      </c>
      <c r="O20" s="30">
        <v>8</v>
      </c>
      <c r="P20" s="33">
        <f t="shared" si="4"/>
        <v>2356.5132767143414</v>
      </c>
      <c r="Q20" s="31">
        <f t="shared" si="5"/>
        <v>7</v>
      </c>
      <c r="R20" s="35">
        <v>7</v>
      </c>
    </row>
    <row r="21" spans="1:18" x14ac:dyDescent="0.25">
      <c r="A21" s="27" t="s">
        <v>52</v>
      </c>
      <c r="B21" s="9">
        <v>2427.4406332453827</v>
      </c>
      <c r="C21" s="9">
        <v>2433.862433862434</v>
      </c>
      <c r="D21" s="9">
        <v>2500</v>
      </c>
      <c r="E21" s="28">
        <f t="shared" si="0"/>
        <v>7361.3030671078168</v>
      </c>
      <c r="F21" s="28">
        <f t="shared" si="1"/>
        <v>2453.7676890359389</v>
      </c>
      <c r="O21" s="30">
        <v>9</v>
      </c>
      <c r="P21" s="33">
        <f t="shared" si="4"/>
        <v>1936.7492405369717</v>
      </c>
      <c r="Q21" s="31">
        <f t="shared" si="5"/>
        <v>9</v>
      </c>
      <c r="R21" s="37">
        <v>9</v>
      </c>
    </row>
    <row r="22" spans="1:18" x14ac:dyDescent="0.25">
      <c r="A22" s="27" t="s">
        <v>53</v>
      </c>
      <c r="B22" s="9">
        <v>2376.4367816091958</v>
      </c>
      <c r="C22" s="9">
        <v>2199.4680851063827</v>
      </c>
      <c r="D22" s="9">
        <v>2349.431818181818</v>
      </c>
      <c r="E22" s="28">
        <f t="shared" si="0"/>
        <v>6925.3366848973965</v>
      </c>
      <c r="F22" s="28">
        <f t="shared" si="1"/>
        <v>2308.4455616324653</v>
      </c>
      <c r="O22" s="25" t="s">
        <v>33</v>
      </c>
      <c r="P22" s="33">
        <f>SQRT(J16/(3*2))</f>
        <v>159.89142572489999</v>
      </c>
      <c r="Q22" s="31"/>
    </row>
    <row r="23" spans="1:18" x14ac:dyDescent="0.25">
      <c r="A23" s="27" t="s">
        <v>55</v>
      </c>
      <c r="B23" s="9">
        <v>2151.5892420537898</v>
      </c>
      <c r="C23" s="9">
        <v>2105.2631578947371</v>
      </c>
      <c r="D23" s="9">
        <v>2037.037037037037</v>
      </c>
      <c r="E23" s="28">
        <f t="shared" si="0"/>
        <v>6293.8894369855643</v>
      </c>
      <c r="F23" s="28">
        <f t="shared" si="1"/>
        <v>2097.9631456618549</v>
      </c>
      <c r="G23" s="43"/>
      <c r="N23" s="25" t="s">
        <v>41</v>
      </c>
      <c r="O23" s="25" t="s">
        <v>37</v>
      </c>
      <c r="P23" s="33">
        <f>SQRT((2*J16)/(3*2))*L17</f>
        <v>459.53239406239732</v>
      </c>
      <c r="Q23" s="31"/>
    </row>
    <row r="24" spans="1:18" x14ac:dyDescent="0.25">
      <c r="A24" s="27" t="s">
        <v>56</v>
      </c>
      <c r="B24" s="9">
        <v>2630.1369863013701</v>
      </c>
      <c r="C24" s="9">
        <v>2105.2631578947367</v>
      </c>
      <c r="D24" s="9">
        <v>2258.8235294117649</v>
      </c>
      <c r="E24" s="28">
        <f t="shared" si="0"/>
        <v>6994.2236736078712</v>
      </c>
      <c r="F24" s="28">
        <f>E24/3</f>
        <v>2331.4078912026239</v>
      </c>
      <c r="G24" s="43"/>
      <c r="Q24" s="31"/>
    </row>
    <row r="25" spans="1:18" x14ac:dyDescent="0.25">
      <c r="A25" s="27" t="s">
        <v>57</v>
      </c>
      <c r="B25" s="9">
        <v>2133.8912133891217</v>
      </c>
      <c r="C25" s="9">
        <v>2179.4871794871797</v>
      </c>
      <c r="D25" s="9">
        <v>2276.7857142857147</v>
      </c>
      <c r="E25" s="28">
        <f t="shared" si="0"/>
        <v>6590.1641071620161</v>
      </c>
      <c r="F25" s="28">
        <f t="shared" si="1"/>
        <v>2196.7213690540052</v>
      </c>
      <c r="G25" s="43"/>
    </row>
    <row r="26" spans="1:18" x14ac:dyDescent="0.25">
      <c r="A26" s="27" t="s">
        <v>58</v>
      </c>
      <c r="B26" s="9">
        <v>1794.8717948717949</v>
      </c>
      <c r="C26" s="9">
        <v>1653.543307086614</v>
      </c>
      <c r="D26" s="9">
        <v>1779.6610169491523</v>
      </c>
      <c r="E26" s="28">
        <f t="shared" si="0"/>
        <v>5228.0761189075611</v>
      </c>
      <c r="F26" s="28">
        <f t="shared" si="1"/>
        <v>1742.6920396358537</v>
      </c>
      <c r="G26" s="43"/>
    </row>
    <row r="27" spans="1:18" x14ac:dyDescent="0.25">
      <c r="A27" s="25" t="s">
        <v>20</v>
      </c>
      <c r="B27" s="28">
        <f>SUM(B9:B26)</f>
        <v>49053.402695789191</v>
      </c>
      <c r="C27" s="28">
        <f>SUM(C9:C26)</f>
        <v>51931.857033426764</v>
      </c>
      <c r="D27" s="28">
        <f>SUM(D9:D26)</f>
        <v>50977.096456075284</v>
      </c>
      <c r="E27" s="28">
        <f>SUM(E9:E26)</f>
        <v>151962.35618529122</v>
      </c>
      <c r="F27" s="28">
        <f>AVERAGE(B9:D26)</f>
        <v>2814.1177071350239</v>
      </c>
      <c r="G27" s="43"/>
    </row>
    <row r="28" spans="1:18" x14ac:dyDescent="0.25">
      <c r="A28" s="25" t="s">
        <v>11</v>
      </c>
      <c r="B28" s="28">
        <f>B27/18</f>
        <v>2725.1890386549549</v>
      </c>
      <c r="C28" s="28">
        <f>C27/18</f>
        <v>2885.103168523709</v>
      </c>
      <c r="D28" s="28">
        <f>D27/18</f>
        <v>2832.0609142264047</v>
      </c>
      <c r="G28" s="43"/>
    </row>
    <row r="29" spans="1:18" x14ac:dyDescent="0.25">
      <c r="A29" s="25" t="s">
        <v>59</v>
      </c>
      <c r="B29" s="28">
        <f>(E27*E27)/54</f>
        <v>427639957.35898739</v>
      </c>
      <c r="C29" s="28"/>
      <c r="D29" s="28"/>
      <c r="G29" s="43"/>
    </row>
    <row r="30" spans="1:18" x14ac:dyDescent="0.25">
      <c r="A30" s="25" t="s">
        <v>60</v>
      </c>
      <c r="B30" s="28">
        <f>SUMSQ(B9:D26)-B29</f>
        <v>52782857.582248449</v>
      </c>
      <c r="C30" s="25" t="s">
        <v>61</v>
      </c>
      <c r="D30" s="28">
        <f>(SUMSQ(B27:D27)/18)-B29</f>
        <v>238845.644764781</v>
      </c>
      <c r="G30" s="43"/>
    </row>
    <row r="31" spans="1:18" x14ac:dyDescent="0.25">
      <c r="A31" s="25" t="s">
        <v>62</v>
      </c>
      <c r="B31" s="28">
        <f>(SUMSQ(E9:E26)/3)-B29</f>
        <v>47328697.261334062</v>
      </c>
      <c r="C31" s="25" t="s">
        <v>63</v>
      </c>
      <c r="D31" s="28">
        <f>B30-B31-D30</f>
        <v>5215314.6761496067</v>
      </c>
      <c r="G31" s="43"/>
    </row>
    <row r="34" spans="1:18" ht="18.75" x14ac:dyDescent="0.3">
      <c r="C34" s="58"/>
    </row>
    <row r="35" spans="1:18" ht="18.75" x14ac:dyDescent="0.3">
      <c r="C35" s="85" t="s">
        <v>123</v>
      </c>
    </row>
    <row r="37" spans="1:18" x14ac:dyDescent="0.25">
      <c r="A37" s="19" t="s">
        <v>13</v>
      </c>
      <c r="B37" s="20">
        <v>2</v>
      </c>
      <c r="C37" s="21"/>
      <c r="D37" s="21"/>
      <c r="E37" s="21"/>
      <c r="F37" s="21"/>
      <c r="G37" s="21"/>
      <c r="H37" s="21"/>
      <c r="M37" s="22"/>
      <c r="N37" s="22"/>
      <c r="O37" s="21"/>
      <c r="P37" s="21"/>
    </row>
    <row r="38" spans="1:18" x14ac:dyDescent="0.25">
      <c r="A38" s="19" t="s">
        <v>14</v>
      </c>
      <c r="B38" s="20">
        <v>9</v>
      </c>
      <c r="C38" s="21" t="s">
        <v>15</v>
      </c>
      <c r="D38" s="21">
        <v>18</v>
      </c>
      <c r="E38" s="21"/>
      <c r="F38" s="21"/>
      <c r="G38" s="21"/>
      <c r="H38" s="21"/>
      <c r="M38" s="22"/>
      <c r="N38" s="22"/>
      <c r="O38" s="21"/>
      <c r="P38" s="21"/>
    </row>
    <row r="39" spans="1:18" x14ac:dyDescent="0.25">
      <c r="A39" s="15" t="s">
        <v>16</v>
      </c>
      <c r="B39" s="23">
        <v>3</v>
      </c>
    </row>
    <row r="40" spans="1:18" s="16" customFormat="1" x14ac:dyDescent="0.25">
      <c r="A40" s="24" t="s">
        <v>0</v>
      </c>
      <c r="B40" s="25" t="s">
        <v>17</v>
      </c>
      <c r="C40" s="25" t="s">
        <v>18</v>
      </c>
      <c r="D40" s="25" t="s">
        <v>19</v>
      </c>
      <c r="E40" s="25" t="s">
        <v>20</v>
      </c>
      <c r="F40" s="25" t="s">
        <v>11</v>
      </c>
      <c r="O40" s="16" t="s">
        <v>21</v>
      </c>
      <c r="Q40" s="15"/>
    </row>
    <row r="41" spans="1:18" s="16" customFormat="1" x14ac:dyDescent="0.25">
      <c r="A41" s="27" t="s">
        <v>22</v>
      </c>
      <c r="B41" s="9">
        <v>1572</v>
      </c>
      <c r="C41" s="9">
        <v>1777</v>
      </c>
      <c r="D41" s="9">
        <v>1545</v>
      </c>
      <c r="E41" s="28">
        <f>SUM(B41:D41)</f>
        <v>4894</v>
      </c>
      <c r="F41" s="28">
        <f>E41/3</f>
        <v>1631.3333333333333</v>
      </c>
      <c r="H41" s="29"/>
      <c r="I41" s="29"/>
      <c r="J41" s="29" t="s">
        <v>23</v>
      </c>
      <c r="K41" s="29"/>
      <c r="L41" s="29"/>
      <c r="M41" s="29"/>
      <c r="N41" s="29"/>
      <c r="O41" s="30">
        <v>1</v>
      </c>
      <c r="P41" s="28">
        <f>SUM(F41:F49)/9</f>
        <v>1107.6061953593382</v>
      </c>
      <c r="Q41" s="31">
        <f>RANK(P41,P$41:P$42,0)</f>
        <v>2</v>
      </c>
    </row>
    <row r="42" spans="1:18" s="16" customFormat="1" x14ac:dyDescent="0.25">
      <c r="A42" s="27" t="s">
        <v>24</v>
      </c>
      <c r="B42" s="9">
        <v>1105</v>
      </c>
      <c r="C42" s="9">
        <v>1210.6385258195844</v>
      </c>
      <c r="D42" s="9">
        <v>1137</v>
      </c>
      <c r="E42" s="28">
        <f t="shared" ref="E42:E58" si="6">SUM(B42:D42)</f>
        <v>3452.6385258195842</v>
      </c>
      <c r="F42" s="28">
        <f t="shared" ref="F42:F55" si="7">E42/3</f>
        <v>1150.8795086065281</v>
      </c>
      <c r="G42" s="28"/>
      <c r="H42" s="25" t="s">
        <v>25</v>
      </c>
      <c r="I42" s="25" t="s">
        <v>26</v>
      </c>
      <c r="J42" s="25" t="s">
        <v>27</v>
      </c>
      <c r="K42" s="25" t="s">
        <v>28</v>
      </c>
      <c r="L42" s="25" t="s">
        <v>29</v>
      </c>
      <c r="M42" s="25" t="s">
        <v>30</v>
      </c>
      <c r="N42" s="32"/>
      <c r="O42" s="30">
        <v>2</v>
      </c>
      <c r="P42" s="28">
        <f>SUM(F50:F58)/9</f>
        <v>1185.9822742800698</v>
      </c>
      <c r="Q42" s="31">
        <f>RANK(P42,P$41:P$42,0)</f>
        <v>1</v>
      </c>
    </row>
    <row r="43" spans="1:18" s="16" customFormat="1" x14ac:dyDescent="0.25">
      <c r="A43" s="27" t="s">
        <v>31</v>
      </c>
      <c r="B43" s="9">
        <v>1249</v>
      </c>
      <c r="C43" s="9">
        <v>1230</v>
      </c>
      <c r="D43" s="9">
        <v>1228.5510785510787</v>
      </c>
      <c r="E43" s="28">
        <f t="shared" si="6"/>
        <v>3707.5510785510787</v>
      </c>
      <c r="F43" s="28">
        <f t="shared" si="7"/>
        <v>1235.8503595170262</v>
      </c>
      <c r="G43" s="28" t="s">
        <v>32</v>
      </c>
      <c r="H43" s="28">
        <f>B39-1</f>
        <v>2</v>
      </c>
      <c r="I43" s="28">
        <f>D62</f>
        <v>1361.7812082022429</v>
      </c>
      <c r="J43" s="28">
        <f>I43/H43</f>
        <v>680.89060410112143</v>
      </c>
      <c r="K43" s="28">
        <f>J43/$J$16</f>
        <v>4.4389038777099552E-3</v>
      </c>
      <c r="L43" s="28">
        <f>FINV(0.05,H43,$H$16)</f>
        <v>3.275897990672394</v>
      </c>
      <c r="M43" s="28" t="str">
        <f>IF(K43&gt;=L43, "S", "NS")</f>
        <v>NS</v>
      </c>
      <c r="N43" s="21"/>
      <c r="O43" s="25" t="s">
        <v>33</v>
      </c>
      <c r="P43" s="33">
        <f>SQRT(J48/(3*9))</f>
        <v>9.0362630397083041</v>
      </c>
      <c r="Q43" s="15"/>
    </row>
    <row r="44" spans="1:18" s="16" customFormat="1" x14ac:dyDescent="0.25">
      <c r="A44" s="27" t="s">
        <v>34</v>
      </c>
      <c r="B44" s="9">
        <v>1083.6310127866857</v>
      </c>
      <c r="C44" s="9">
        <v>1086.100936100936</v>
      </c>
      <c r="D44" s="9">
        <v>1111.5384615384614</v>
      </c>
      <c r="E44" s="28">
        <f t="shared" si="6"/>
        <v>3281.2704104260833</v>
      </c>
      <c r="F44" s="28">
        <f t="shared" si="7"/>
        <v>1093.756803475361</v>
      </c>
      <c r="G44" s="28" t="s">
        <v>35</v>
      </c>
      <c r="H44" s="28">
        <f>D38-1</f>
        <v>17</v>
      </c>
      <c r="I44" s="28">
        <f>B63</f>
        <v>1773258.7272240072</v>
      </c>
      <c r="J44" s="28">
        <f t="shared" ref="J44:J48" si="8">I44/H44</f>
        <v>104309.33689552984</v>
      </c>
      <c r="K44" s="28">
        <f>J44/$J$16</f>
        <v>0.68001984054131093</v>
      </c>
      <c r="L44" s="28">
        <f>FINV(0.05,H44,$H$16)</f>
        <v>1.9332068318040869</v>
      </c>
      <c r="M44" s="34" t="str">
        <f t="shared" ref="M44" si="9">IF(K44&gt;=L44, "S", "NS")</f>
        <v>NS</v>
      </c>
      <c r="N44" s="25" t="s">
        <v>36</v>
      </c>
      <c r="O44" s="25" t="s">
        <v>37</v>
      </c>
      <c r="P44" s="33">
        <f>SQRT((2*J48)/(3*9))*L49</f>
        <v>25.970470706535504</v>
      </c>
      <c r="Q44" s="15"/>
    </row>
    <row r="45" spans="1:18" s="16" customFormat="1" x14ac:dyDescent="0.25">
      <c r="A45" s="27" t="s">
        <v>38</v>
      </c>
      <c r="B45" s="9">
        <v>1034</v>
      </c>
      <c r="C45" s="9">
        <v>1026</v>
      </c>
      <c r="D45" s="9">
        <v>1053.6276223776222</v>
      </c>
      <c r="E45" s="28">
        <f t="shared" si="6"/>
        <v>3113.6276223776222</v>
      </c>
      <c r="F45" s="28">
        <f t="shared" si="7"/>
        <v>1037.8758741258741</v>
      </c>
      <c r="G45" s="28" t="s">
        <v>39</v>
      </c>
      <c r="H45" s="28">
        <f>B37-1</f>
        <v>1</v>
      </c>
      <c r="I45" s="28">
        <f>(SUM(E41:E49)^2+SUM(E50:E58)^2)/27-B61</f>
        <v>82927.931584343314</v>
      </c>
      <c r="J45" s="28">
        <f t="shared" si="8"/>
        <v>82927.931584343314</v>
      </c>
      <c r="K45" s="28">
        <f>J45/$J$16</f>
        <v>0.54062886881243877</v>
      </c>
      <c r="L45" s="28">
        <f>FINV(0.05,H45,$H$16)</f>
        <v>4.1300177456520188</v>
      </c>
      <c r="M45" s="28" t="str">
        <f>IF(K45&gt;=L45, "S", "NS")</f>
        <v>NS</v>
      </c>
      <c r="N45" s="21"/>
      <c r="O45" s="30">
        <v>1</v>
      </c>
      <c r="P45" s="28">
        <f>(F41+F50)/2</f>
        <v>1504.1929595827901</v>
      </c>
      <c r="Q45" s="31">
        <f>RANK(P45,P$45:P$53,0)</f>
        <v>1</v>
      </c>
      <c r="R45" s="35">
        <v>1</v>
      </c>
    </row>
    <row r="46" spans="1:18" s="16" customFormat="1" x14ac:dyDescent="0.25">
      <c r="A46" s="27" t="s">
        <v>40</v>
      </c>
      <c r="B46" s="9">
        <v>958</v>
      </c>
      <c r="C46" s="9">
        <v>959.71659919028343</v>
      </c>
      <c r="D46" s="9">
        <v>953</v>
      </c>
      <c r="E46" s="28">
        <f t="shared" si="6"/>
        <v>2870.7165991902834</v>
      </c>
      <c r="F46" s="28">
        <f t="shared" si="7"/>
        <v>956.90553306342781</v>
      </c>
      <c r="G46" s="28" t="s">
        <v>41</v>
      </c>
      <c r="H46" s="28">
        <f>B38-1</f>
        <v>8</v>
      </c>
      <c r="I46" s="28">
        <f>((E41+E50)^2+(E42+E51)^2+(E43+E52)^2+(E44+E53)^2+(E45+E54)^2+(E46+E55)^2+(E47+E56)^2+(E48+E57)^2+(E49+E58)^2/6)-B61</f>
        <v>340302506.72450423</v>
      </c>
      <c r="J46" s="28">
        <f t="shared" si="8"/>
        <v>42537813.340563029</v>
      </c>
      <c r="K46" s="28">
        <f>J46/$J$16</f>
        <v>277.31512734854095</v>
      </c>
      <c r="L46" s="28">
        <f>FINV(0.05,H46,$H$16)</f>
        <v>2.2253399674380931</v>
      </c>
      <c r="M46" s="28" t="str">
        <f>IF(K46&gt;=L46, "S", "NS")</f>
        <v>S</v>
      </c>
      <c r="N46" s="21"/>
      <c r="O46" s="30">
        <v>2</v>
      </c>
      <c r="P46" s="28">
        <f t="shared" ref="P46:P53" si="10">(F42+F51)/2</f>
        <v>1240.3352912926664</v>
      </c>
      <c r="Q46" s="31">
        <f t="shared" ref="Q46:Q53" si="11">RANK(P46,P$45:P$53,0)</f>
        <v>2</v>
      </c>
      <c r="R46" s="37">
        <v>2</v>
      </c>
    </row>
    <row r="47" spans="1:18" s="16" customFormat="1" x14ac:dyDescent="0.25">
      <c r="A47" s="27" t="s">
        <v>42</v>
      </c>
      <c r="B47" s="9">
        <v>1161.59114857745</v>
      </c>
      <c r="C47" s="9">
        <v>959.71659919028332</v>
      </c>
      <c r="D47" s="9">
        <v>1018.7782805429865</v>
      </c>
      <c r="E47" s="28">
        <f t="shared" si="6"/>
        <v>3140.0860283107199</v>
      </c>
      <c r="F47" s="28">
        <f t="shared" si="7"/>
        <v>1046.6953427702399</v>
      </c>
      <c r="G47" s="38" t="s">
        <v>43</v>
      </c>
      <c r="H47" s="28">
        <f>H45*H46</f>
        <v>8</v>
      </c>
      <c r="I47" s="28">
        <f>I44-(I45+I46)</f>
        <v>-338612175.9288646</v>
      </c>
      <c r="J47" s="28">
        <f t="shared" si="8"/>
        <v>-42326521.991108075</v>
      </c>
      <c r="K47" s="39">
        <f>J47/$J$16</f>
        <v>-275.93766379599225</v>
      </c>
      <c r="L47" s="28">
        <f>FINV(0.05,H47,$H$16)</f>
        <v>2.2253399674380931</v>
      </c>
      <c r="M47" s="28" t="str">
        <f t="shared" ref="M47" si="12">IF(K47&gt;=L47, "S", "NS")</f>
        <v>NS</v>
      </c>
      <c r="N47" s="21"/>
      <c r="O47" s="30">
        <v>3</v>
      </c>
      <c r="P47" s="28">
        <f t="shared" si="10"/>
        <v>1238.0918464251797</v>
      </c>
      <c r="Q47" s="31">
        <f t="shared" si="11"/>
        <v>3</v>
      </c>
      <c r="R47" s="37">
        <v>3</v>
      </c>
    </row>
    <row r="48" spans="1:18" s="16" customFormat="1" x14ac:dyDescent="0.25">
      <c r="A48" s="27" t="s">
        <v>44</v>
      </c>
      <c r="B48" s="9">
        <v>970.72738976504684</v>
      </c>
      <c r="C48" s="9">
        <v>988.26429980276134</v>
      </c>
      <c r="D48" s="9">
        <v>1025.6868131868132</v>
      </c>
      <c r="E48" s="28">
        <f t="shared" si="6"/>
        <v>2984.6785027546211</v>
      </c>
      <c r="F48" s="28">
        <f t="shared" si="7"/>
        <v>994.89283425154042</v>
      </c>
      <c r="G48" s="40" t="s">
        <v>45</v>
      </c>
      <c r="H48" s="28">
        <f>((B39-1)*(B37*B38-1))</f>
        <v>34</v>
      </c>
      <c r="I48" s="28">
        <f>D63</f>
        <v>74958.417645528913</v>
      </c>
      <c r="J48" s="28">
        <f t="shared" si="8"/>
        <v>2204.6593425155561</v>
      </c>
      <c r="O48" s="30">
        <v>4</v>
      </c>
      <c r="P48" s="28">
        <f t="shared" si="10"/>
        <v>1151.8480544478396</v>
      </c>
      <c r="Q48" s="31">
        <f t="shared" si="11"/>
        <v>4</v>
      </c>
      <c r="R48" s="37">
        <v>4</v>
      </c>
    </row>
    <row r="49" spans="1:18" x14ac:dyDescent="0.25">
      <c r="A49" s="27" t="s">
        <v>46</v>
      </c>
      <c r="B49" s="9">
        <v>840.33530571992105</v>
      </c>
      <c r="C49" s="9">
        <v>785.97819503331311</v>
      </c>
      <c r="D49" s="9">
        <v>834.4850065189047</v>
      </c>
      <c r="E49" s="28">
        <f t="shared" si="6"/>
        <v>2460.798507272139</v>
      </c>
      <c r="F49" s="28">
        <f t="shared" si="7"/>
        <v>820.26616909071299</v>
      </c>
      <c r="G49" s="39" t="s">
        <v>20</v>
      </c>
      <c r="H49" s="28">
        <f>SUM(H43:H48)-H44</f>
        <v>53</v>
      </c>
      <c r="I49" s="28">
        <f>B62</f>
        <v>1849578.9260777384</v>
      </c>
      <c r="K49" s="28" t="s">
        <v>47</v>
      </c>
      <c r="L49" s="16">
        <f>TINV(0.05,34)</f>
        <v>2.0322445093177191</v>
      </c>
      <c r="O49" s="30">
        <v>5</v>
      </c>
      <c r="P49" s="28">
        <f t="shared" si="10"/>
        <v>1150.1841793264207</v>
      </c>
      <c r="Q49" s="31">
        <f t="shared" si="11"/>
        <v>5</v>
      </c>
      <c r="R49" s="35">
        <v>5</v>
      </c>
    </row>
    <row r="50" spans="1:18" x14ac:dyDescent="0.25">
      <c r="A50" s="27" t="s">
        <v>48</v>
      </c>
      <c r="B50" s="9">
        <v>1364</v>
      </c>
      <c r="C50" s="9">
        <v>1387.1577574967403</v>
      </c>
      <c r="D50" s="9">
        <v>1380</v>
      </c>
      <c r="E50" s="28">
        <f t="shared" si="6"/>
        <v>4131.1577574967405</v>
      </c>
      <c r="F50" s="28">
        <f t="shared" si="7"/>
        <v>1377.0525858322469</v>
      </c>
      <c r="G50" s="42" t="s">
        <v>33</v>
      </c>
      <c r="H50" s="28">
        <f>SQRT(J48/3)</f>
        <v>27.108789119124914</v>
      </c>
      <c r="O50" s="30">
        <v>6</v>
      </c>
      <c r="P50" s="28">
        <f t="shared" si="10"/>
        <v>1035.3569897594666</v>
      </c>
      <c r="Q50" s="31">
        <f t="shared" si="11"/>
        <v>8</v>
      </c>
      <c r="R50" s="37">
        <v>8</v>
      </c>
    </row>
    <row r="51" spans="1:18" x14ac:dyDescent="0.25">
      <c r="A51" s="27" t="s">
        <v>49</v>
      </c>
      <c r="B51" s="9">
        <v>1295.8031088082901</v>
      </c>
      <c r="C51" s="9">
        <v>1320.4761904761906</v>
      </c>
      <c r="D51" s="9">
        <v>1373.0939226519336</v>
      </c>
      <c r="E51" s="28">
        <f t="shared" si="6"/>
        <v>3989.3732219364142</v>
      </c>
      <c r="F51" s="28">
        <f t="shared" si="7"/>
        <v>1329.7910739788047</v>
      </c>
      <c r="G51" s="42" t="s">
        <v>37</v>
      </c>
      <c r="H51" s="28">
        <f>(SQRT((2*J48)/3))*L49</f>
        <v>77.911412119606524</v>
      </c>
      <c r="O51" s="30">
        <v>7</v>
      </c>
      <c r="P51" s="28">
        <f t="shared" si="10"/>
        <v>1069.8839782155444</v>
      </c>
      <c r="Q51" s="31">
        <f t="shared" si="11"/>
        <v>6</v>
      </c>
      <c r="R51" s="37">
        <v>6</v>
      </c>
    </row>
    <row r="52" spans="1:18" x14ac:dyDescent="0.25">
      <c r="A52" s="27" t="s">
        <v>50</v>
      </c>
      <c r="B52" s="9">
        <v>1216</v>
      </c>
      <c r="C52" s="9">
        <v>1274</v>
      </c>
      <c r="D52" s="9">
        <v>1231</v>
      </c>
      <c r="E52" s="28">
        <f t="shared" si="6"/>
        <v>3721</v>
      </c>
      <c r="F52" s="28">
        <f t="shared" si="7"/>
        <v>1240.3333333333333</v>
      </c>
      <c r="G52" s="42" t="s">
        <v>51</v>
      </c>
      <c r="H52" s="28">
        <f>((SQRT(J48))/F59)*100</f>
        <v>4.0943526449953467</v>
      </c>
      <c r="O52" s="30">
        <v>8</v>
      </c>
      <c r="P52" s="28">
        <f t="shared" si="10"/>
        <v>1046.3512602747467</v>
      </c>
      <c r="Q52" s="31">
        <f t="shared" si="11"/>
        <v>7</v>
      </c>
      <c r="R52" s="35">
        <v>7</v>
      </c>
    </row>
    <row r="53" spans="1:18" x14ac:dyDescent="0.25">
      <c r="A53" s="27" t="s">
        <v>52</v>
      </c>
      <c r="B53" s="9">
        <v>1202</v>
      </c>
      <c r="C53" s="9">
        <v>1210.8179162609542</v>
      </c>
      <c r="D53" s="9">
        <v>1217</v>
      </c>
      <c r="E53" s="28">
        <f t="shared" si="6"/>
        <v>3629.817916260954</v>
      </c>
      <c r="F53" s="28">
        <f t="shared" si="7"/>
        <v>1209.9393054203181</v>
      </c>
      <c r="O53" s="30">
        <v>9</v>
      </c>
      <c r="P53" s="28">
        <f t="shared" si="10"/>
        <v>884.90355405268156</v>
      </c>
      <c r="Q53" s="31">
        <f t="shared" si="11"/>
        <v>9</v>
      </c>
      <c r="R53" s="37">
        <v>9</v>
      </c>
    </row>
    <row r="54" spans="1:18" x14ac:dyDescent="0.25">
      <c r="A54" s="27" t="s">
        <v>53</v>
      </c>
      <c r="B54" s="9">
        <v>1246</v>
      </c>
      <c r="C54" s="9">
        <v>1251</v>
      </c>
      <c r="D54" s="9">
        <v>1290.477453580902</v>
      </c>
      <c r="E54" s="28">
        <f t="shared" si="6"/>
        <v>3787.477453580902</v>
      </c>
      <c r="F54" s="28">
        <f t="shared" si="7"/>
        <v>1262.4924845269672</v>
      </c>
      <c r="O54" s="25" t="s">
        <v>33</v>
      </c>
      <c r="P54" s="33">
        <f>SQRT(J48/(3*2))</f>
        <v>19.168808615889322</v>
      </c>
      <c r="Q54" s="31"/>
    </row>
    <row r="55" spans="1:18" x14ac:dyDescent="0.25">
      <c r="A55" s="27" t="s">
        <v>55</v>
      </c>
      <c r="B55" s="9">
        <v>1114</v>
      </c>
      <c r="C55" s="9">
        <v>1116.4253393665158</v>
      </c>
      <c r="D55" s="9">
        <v>1111</v>
      </c>
      <c r="E55" s="28">
        <f t="shared" si="6"/>
        <v>3341.4253393665158</v>
      </c>
      <c r="F55" s="28">
        <f t="shared" si="7"/>
        <v>1113.8084464555052</v>
      </c>
      <c r="G55" s="43"/>
      <c r="N55" s="25" t="s">
        <v>41</v>
      </c>
      <c r="O55" s="25" t="s">
        <v>37</v>
      </c>
      <c r="P55" s="33">
        <f>SQRT((2*J48)/(3*2))*L49</f>
        <v>55.091687841593533</v>
      </c>
      <c r="Q55" s="31"/>
    </row>
    <row r="56" spans="1:18" x14ac:dyDescent="0.25">
      <c r="A56" s="27" t="s">
        <v>56</v>
      </c>
      <c r="B56" s="9">
        <v>1116</v>
      </c>
      <c r="C56" s="9">
        <v>1059.2178409825469</v>
      </c>
      <c r="D56" s="9">
        <v>1104</v>
      </c>
      <c r="E56" s="28">
        <f t="shared" si="6"/>
        <v>3279.2178409825469</v>
      </c>
      <c r="F56" s="28">
        <f>E56/3</f>
        <v>1093.0726136608489</v>
      </c>
      <c r="G56" s="43"/>
      <c r="Q56" s="31"/>
    </row>
    <row r="57" spans="1:18" x14ac:dyDescent="0.25">
      <c r="A57" s="27" t="s">
        <v>57</v>
      </c>
      <c r="B57" s="9">
        <v>1071.7537195314972</v>
      </c>
      <c r="C57" s="9">
        <v>1092.3471566280648</v>
      </c>
      <c r="D57" s="9">
        <v>1129.3281827342962</v>
      </c>
      <c r="E57" s="28">
        <f t="shared" si="6"/>
        <v>3293.4290588938584</v>
      </c>
      <c r="F57" s="28">
        <f t="shared" ref="F57:F58" si="13">E57/3</f>
        <v>1097.8096862979528</v>
      </c>
      <c r="G57" s="43"/>
    </row>
    <row r="58" spans="1:18" x14ac:dyDescent="0.25">
      <c r="A58" s="27" t="s">
        <v>58</v>
      </c>
      <c r="B58" s="9">
        <v>917.05078705078722</v>
      </c>
      <c r="C58" s="9">
        <v>948.65925239419221</v>
      </c>
      <c r="D58" s="9">
        <v>982.91277759897025</v>
      </c>
      <c r="E58" s="28">
        <f t="shared" si="6"/>
        <v>2848.6228170439499</v>
      </c>
      <c r="F58" s="28">
        <f t="shared" si="13"/>
        <v>949.54093901465001</v>
      </c>
      <c r="G58" s="43"/>
    </row>
    <row r="59" spans="1:18" x14ac:dyDescent="0.25">
      <c r="A59" s="25" t="s">
        <v>20</v>
      </c>
      <c r="B59" s="28">
        <f>SUM(B41:B58)</f>
        <v>20516.892472239677</v>
      </c>
      <c r="C59" s="28">
        <f t="shared" ref="C59:D59" si="14">SUM(C41:C58)</f>
        <v>20683.516608742364</v>
      </c>
      <c r="D59" s="28">
        <f t="shared" si="14"/>
        <v>20726.479599281971</v>
      </c>
      <c r="E59" s="28">
        <f>SUM(E41:E58)</f>
        <v>61926.888680264019</v>
      </c>
      <c r="F59" s="28">
        <f>AVERAGE(B41:D58)</f>
        <v>1146.7942348197039</v>
      </c>
      <c r="G59" s="43"/>
    </row>
    <row r="60" spans="1:18" x14ac:dyDescent="0.25">
      <c r="A60" s="25" t="s">
        <v>11</v>
      </c>
      <c r="B60" s="28">
        <f>B59/18</f>
        <v>1139.8273595688709</v>
      </c>
      <c r="C60" s="28">
        <f>C59/18</f>
        <v>1149.0842560412425</v>
      </c>
      <c r="D60" s="28">
        <f>D59/18</f>
        <v>1151.4710888489983</v>
      </c>
      <c r="G60" s="43"/>
    </row>
    <row r="61" spans="1:18" x14ac:dyDescent="0.25">
      <c r="A61" s="25" t="s">
        <v>59</v>
      </c>
      <c r="B61" s="28">
        <f>(E59*E59)/54</f>
        <v>71017398.918848366</v>
      </c>
      <c r="C61" s="28"/>
      <c r="D61" s="28"/>
      <c r="G61" s="43"/>
    </row>
    <row r="62" spans="1:18" x14ac:dyDescent="0.25">
      <c r="A62" s="25" t="s">
        <v>60</v>
      </c>
      <c r="B62" s="28">
        <f>SUMSQ(B41:D58)-B61</f>
        <v>1849578.9260777384</v>
      </c>
      <c r="C62" s="25" t="s">
        <v>61</v>
      </c>
      <c r="D62" s="28">
        <f>(SUMSQ(B59:D59)/18)-B61</f>
        <v>1361.7812082022429</v>
      </c>
      <c r="G62" s="43"/>
    </row>
    <row r="63" spans="1:18" x14ac:dyDescent="0.25">
      <c r="A63" s="25" t="s">
        <v>62</v>
      </c>
      <c r="B63" s="28">
        <f>(SUMSQ(E41:E58)/3)-B61</f>
        <v>1773258.7272240072</v>
      </c>
      <c r="C63" s="25" t="s">
        <v>63</v>
      </c>
      <c r="D63" s="28">
        <f>B62-B63-D62</f>
        <v>74958.417645528913</v>
      </c>
      <c r="G63" s="43"/>
    </row>
    <row r="66" spans="1:18" ht="20.25" x14ac:dyDescent="0.3">
      <c r="C66" s="86">
        <v>2020</v>
      </c>
    </row>
    <row r="67" spans="1:18" ht="15.75" x14ac:dyDescent="0.25">
      <c r="C67" s="84" t="s">
        <v>122</v>
      </c>
    </row>
    <row r="69" spans="1:18" x14ac:dyDescent="0.25">
      <c r="A69" s="19" t="s">
        <v>13</v>
      </c>
      <c r="B69" s="20">
        <v>2</v>
      </c>
      <c r="C69" s="21"/>
      <c r="D69" s="21"/>
      <c r="E69" s="21"/>
      <c r="F69" s="21"/>
      <c r="G69" s="21"/>
      <c r="H69" s="21"/>
      <c r="L69" s="21"/>
      <c r="M69" s="22"/>
      <c r="N69" s="22"/>
      <c r="O69" s="21"/>
      <c r="P69" s="21"/>
    </row>
    <row r="70" spans="1:18" x14ac:dyDescent="0.25">
      <c r="A70" s="19" t="s">
        <v>14</v>
      </c>
      <c r="B70" s="20">
        <v>9</v>
      </c>
      <c r="C70" s="21" t="s">
        <v>15</v>
      </c>
      <c r="D70" s="21">
        <v>18</v>
      </c>
      <c r="E70" s="21"/>
      <c r="F70" s="21"/>
      <c r="G70" s="21"/>
      <c r="H70" s="21"/>
      <c r="L70" s="21"/>
      <c r="M70" s="22"/>
      <c r="N70" s="22"/>
      <c r="O70" s="21"/>
      <c r="P70" s="21"/>
    </row>
    <row r="71" spans="1:18" x14ac:dyDescent="0.25">
      <c r="A71" s="15" t="s">
        <v>16</v>
      </c>
      <c r="B71" s="23">
        <v>3</v>
      </c>
    </row>
    <row r="72" spans="1:18" x14ac:dyDescent="0.25">
      <c r="A72" s="24" t="s">
        <v>0</v>
      </c>
      <c r="B72" s="25" t="s">
        <v>17</v>
      </c>
      <c r="C72" s="25" t="s">
        <v>18</v>
      </c>
      <c r="D72" s="25" t="s">
        <v>19</v>
      </c>
      <c r="E72" s="25" t="s">
        <v>20</v>
      </c>
      <c r="F72" s="25" t="s">
        <v>11</v>
      </c>
      <c r="O72" s="16" t="s">
        <v>21</v>
      </c>
      <c r="R72" s="16"/>
    </row>
    <row r="73" spans="1:18" x14ac:dyDescent="0.25">
      <c r="A73" s="27" t="s">
        <v>22</v>
      </c>
      <c r="B73" s="44">
        <v>4766.0377358490559</v>
      </c>
      <c r="C73" s="44">
        <v>5793.577981651375</v>
      </c>
      <c r="D73" s="44">
        <v>5360.7809847198641</v>
      </c>
      <c r="E73" s="28">
        <f>SUM(B73:D73)</f>
        <v>15920.396702220294</v>
      </c>
      <c r="F73" s="28">
        <f>E73/3</f>
        <v>5306.7989007400984</v>
      </c>
      <c r="H73" s="29"/>
      <c r="J73" s="16" t="s">
        <v>23</v>
      </c>
      <c r="L73" s="29"/>
      <c r="M73" s="29"/>
      <c r="N73" s="29"/>
      <c r="O73" s="30">
        <v>1</v>
      </c>
      <c r="P73" s="28">
        <f>SUM(F73:F81)/9</f>
        <v>2967.5256273783684</v>
      </c>
      <c r="Q73" s="31">
        <f>RANK(P73,P$73:P$74,0)</f>
        <v>1</v>
      </c>
      <c r="R73" s="16"/>
    </row>
    <row r="74" spans="1:18" x14ac:dyDescent="0.25">
      <c r="A74" s="27" t="s">
        <v>24</v>
      </c>
      <c r="B74" s="44">
        <v>3000</v>
      </c>
      <c r="C74" s="44">
        <v>3053.9845758354759</v>
      </c>
      <c r="D74" s="44">
        <v>3228.2608695652175</v>
      </c>
      <c r="E74" s="28">
        <f t="shared" ref="E74:E90" si="15">SUM(B74:D74)</f>
        <v>9282.2454454006929</v>
      </c>
      <c r="F74" s="28">
        <f t="shared" ref="F74:F87" si="16">E74/3</f>
        <v>3094.0818151335643</v>
      </c>
      <c r="G74" s="28"/>
      <c r="H74" s="25" t="s">
        <v>25</v>
      </c>
      <c r="I74" s="25" t="s">
        <v>26</v>
      </c>
      <c r="J74" s="25" t="s">
        <v>27</v>
      </c>
      <c r="K74" s="25" t="s">
        <v>28</v>
      </c>
      <c r="L74" s="25" t="s">
        <v>29</v>
      </c>
      <c r="M74" s="25" t="s">
        <v>30</v>
      </c>
      <c r="N74" s="32"/>
      <c r="O74" s="30">
        <v>2</v>
      </c>
      <c r="P74" s="28">
        <f>SUM(F82:F90)/9</f>
        <v>2579.3125317079694</v>
      </c>
      <c r="Q74" s="31">
        <f>RANK(P74,P$73:P$74,0)</f>
        <v>2</v>
      </c>
      <c r="R74" s="16"/>
    </row>
    <row r="75" spans="1:18" x14ac:dyDescent="0.25">
      <c r="A75" s="27" t="s">
        <v>31</v>
      </c>
      <c r="B75" s="44">
        <v>3063.700707785642</v>
      </c>
      <c r="C75" s="44">
        <v>2779.8165137614678</v>
      </c>
      <c r="D75" s="44">
        <v>2723.5955056179773</v>
      </c>
      <c r="E75" s="28">
        <f t="shared" si="15"/>
        <v>8567.1127271650876</v>
      </c>
      <c r="F75" s="28">
        <f t="shared" si="16"/>
        <v>2855.7042423883627</v>
      </c>
      <c r="G75" s="28" t="s">
        <v>32</v>
      </c>
      <c r="H75" s="28">
        <f>B71-1</f>
        <v>2</v>
      </c>
      <c r="I75" s="28">
        <f>D94</f>
        <v>2259.7885584235191</v>
      </c>
      <c r="J75" s="28">
        <f>I75/H75</f>
        <v>1129.8942792117596</v>
      </c>
      <c r="K75" s="28">
        <f>J75/$J$16</f>
        <v>7.3660762348403703E-3</v>
      </c>
      <c r="L75" s="28">
        <f>FINV(0.05,H75,$H$16)</f>
        <v>3.275897990672394</v>
      </c>
      <c r="M75" s="28" t="str">
        <f>IF(K75&gt;=L75, "S", "NS")</f>
        <v>NS</v>
      </c>
      <c r="N75" s="21"/>
      <c r="O75" s="25" t="s">
        <v>33</v>
      </c>
      <c r="P75" s="33">
        <f>SQRT(J80/(3*9))</f>
        <v>47.556369709046919</v>
      </c>
      <c r="R75" s="16"/>
    </row>
    <row r="76" spans="1:18" x14ac:dyDescent="0.25">
      <c r="A76" s="27" t="s">
        <v>34</v>
      </c>
      <c r="B76" s="44">
        <v>2859.29648241206</v>
      </c>
      <c r="C76" s="44">
        <v>2888.3248730964465</v>
      </c>
      <c r="D76" s="44">
        <v>2789.2156862745092</v>
      </c>
      <c r="E76" s="28">
        <f t="shared" si="15"/>
        <v>8536.8370417830156</v>
      </c>
      <c r="F76" s="28">
        <f t="shared" si="16"/>
        <v>2845.6123472610052</v>
      </c>
      <c r="G76" s="28" t="s">
        <v>35</v>
      </c>
      <c r="H76" s="28">
        <f>D70-1</f>
        <v>17</v>
      </c>
      <c r="I76" s="28">
        <f>B95</f>
        <v>42062684.373217225</v>
      </c>
      <c r="J76" s="28">
        <f t="shared" ref="J76:J80" si="17">I76/H76</f>
        <v>2474275.5513657192</v>
      </c>
      <c r="K76" s="28">
        <f>J76/$J$16</f>
        <v>16.130449257674133</v>
      </c>
      <c r="L76" s="28">
        <f>FINV(0.05,H76,$H$16)</f>
        <v>1.9332068318040869</v>
      </c>
      <c r="M76" s="34" t="str">
        <f t="shared" ref="M76" si="18">IF(K76&gt;=L76, "S", "NS")</f>
        <v>S</v>
      </c>
      <c r="N76" s="25" t="s">
        <v>36</v>
      </c>
      <c r="O76" s="25" t="s">
        <v>37</v>
      </c>
      <c r="P76" s="33">
        <f>SQRT((2*J80)/(3*9))*L81</f>
        <v>136.67832609682907</v>
      </c>
      <c r="R76" s="16"/>
    </row>
    <row r="77" spans="1:18" x14ac:dyDescent="0.25">
      <c r="A77" s="27" t="s">
        <v>38</v>
      </c>
      <c r="B77" s="44">
        <v>2724.0506329113923</v>
      </c>
      <c r="C77" s="44">
        <v>2923.913043478261</v>
      </c>
      <c r="D77" s="44">
        <v>3118.840579710145</v>
      </c>
      <c r="E77" s="28">
        <f t="shared" si="15"/>
        <v>8766.8042560997983</v>
      </c>
      <c r="F77" s="28">
        <f t="shared" si="16"/>
        <v>2922.2680853665993</v>
      </c>
      <c r="G77" s="28" t="s">
        <v>39</v>
      </c>
      <c r="H77" s="28">
        <f>B69-1</f>
        <v>1</v>
      </c>
      <c r="I77" s="28">
        <f>(SUM(E73:E81)^2+SUM(E82:E90)^2)/27-B93</f>
        <v>2034577.0032749176</v>
      </c>
      <c r="J77" s="28">
        <f t="shared" si="17"/>
        <v>2034577.0032749176</v>
      </c>
      <c r="K77" s="28">
        <f>J77/$J$16</f>
        <v>13.263939456558079</v>
      </c>
      <c r="L77" s="28">
        <f>FINV(0.05,H77,$H$16)</f>
        <v>4.1300177456520188</v>
      </c>
      <c r="M77" s="28" t="str">
        <f>IF(K77&gt;=L77, "S", "NS")</f>
        <v>S</v>
      </c>
      <c r="N77" s="21"/>
      <c r="O77" s="30">
        <v>1</v>
      </c>
      <c r="P77" s="28">
        <f>(F73+F82)/2</f>
        <v>5068.5389252558743</v>
      </c>
      <c r="Q77" s="31">
        <f>RANK(P77,P$77:P$85,0)</f>
        <v>1</v>
      </c>
      <c r="R77" s="35">
        <v>1</v>
      </c>
    </row>
    <row r="78" spans="1:18" x14ac:dyDescent="0.25">
      <c r="A78" s="27" t="s">
        <v>40</v>
      </c>
      <c r="B78" s="44">
        <v>2506.7264573991038</v>
      </c>
      <c r="C78" s="44">
        <v>2552.5114155251144</v>
      </c>
      <c r="D78" s="44">
        <v>2612.1495327102812</v>
      </c>
      <c r="E78" s="28">
        <f t="shared" si="15"/>
        <v>7671.3874056344994</v>
      </c>
      <c r="F78" s="28">
        <f t="shared" si="16"/>
        <v>2557.1291352114999</v>
      </c>
      <c r="G78" s="28" t="s">
        <v>41</v>
      </c>
      <c r="H78" s="28">
        <f>B70-1</f>
        <v>8</v>
      </c>
      <c r="I78" s="28">
        <f>((E73+E82)^2+(E74+E83)^2+(E75+E84)^2+(E76+E85)^2+(E77+E86)^2+(E78+E87)^2+(E79+E88)^2+(E80+E89)^2+(E81+E90)^2/6)-B93</f>
        <v>2202741326.3086319</v>
      </c>
      <c r="J78" s="28">
        <f t="shared" si="17"/>
        <v>275342665.78857899</v>
      </c>
      <c r="K78" s="28">
        <f>J78/$J$16</f>
        <v>1795.0308309532838</v>
      </c>
      <c r="L78" s="28">
        <f>FINV(0.05,H78,$H$16)</f>
        <v>2.2253399674380931</v>
      </c>
      <c r="M78" s="28" t="str">
        <f>IF(K78&gt;=L78, "S", "NS")</f>
        <v>S</v>
      </c>
      <c r="N78" s="21"/>
      <c r="O78" s="30">
        <v>2</v>
      </c>
      <c r="P78" s="28">
        <f t="shared" ref="P78:P85" si="19">(F74+F83)/2</f>
        <v>2891.4498310938197</v>
      </c>
      <c r="Q78" s="31">
        <f t="shared" ref="Q78:Q84" si="20">RANK(P78,P$77:P$85,0)</f>
        <v>2</v>
      </c>
      <c r="R78" s="37">
        <v>2</v>
      </c>
    </row>
    <row r="79" spans="1:18" x14ac:dyDescent="0.25">
      <c r="A79" s="27" t="s">
        <v>42</v>
      </c>
      <c r="B79" s="44">
        <v>2511.827956989247</v>
      </c>
      <c r="C79" s="44">
        <v>2388.5480572597139</v>
      </c>
      <c r="D79" s="44">
        <v>2561.4035087719294</v>
      </c>
      <c r="E79" s="28">
        <f t="shared" si="15"/>
        <v>7461.7795230208903</v>
      </c>
      <c r="F79" s="28">
        <f t="shared" si="16"/>
        <v>2487.2598410069636</v>
      </c>
      <c r="G79" s="38" t="s">
        <v>43</v>
      </c>
      <c r="H79" s="28">
        <f>H77*H78</f>
        <v>8</v>
      </c>
      <c r="I79" s="28">
        <f>I76-(I77+I78)</f>
        <v>-2162713218.9386897</v>
      </c>
      <c r="J79" s="28">
        <f t="shared" si="17"/>
        <v>-270339152.36733621</v>
      </c>
      <c r="K79" s="39">
        <f>J79/$J$16</f>
        <v>-1762.4116187127961</v>
      </c>
      <c r="L79" s="28">
        <f>FINV(0.05,H79,$H$16)</f>
        <v>2.2253399674380931</v>
      </c>
      <c r="M79" s="28" t="str">
        <f t="shared" ref="M79" si="21">IF(K79&gt;=L79, "S", "NS")</f>
        <v>NS</v>
      </c>
      <c r="N79" s="21"/>
      <c r="O79" s="30">
        <v>3</v>
      </c>
      <c r="P79" s="28">
        <f t="shared" si="19"/>
        <v>2828.8971149972695</v>
      </c>
      <c r="Q79" s="31">
        <f t="shared" si="20"/>
        <v>3</v>
      </c>
      <c r="R79" s="37">
        <v>3</v>
      </c>
    </row>
    <row r="80" spans="1:18" x14ac:dyDescent="0.25">
      <c r="A80" s="27" t="s">
        <v>44</v>
      </c>
      <c r="B80" s="44">
        <v>2434.3434343434342</v>
      </c>
      <c r="C80" s="44">
        <v>2479.4238683127569</v>
      </c>
      <c r="D80" s="44">
        <v>2591.3978494623652</v>
      </c>
      <c r="E80" s="28">
        <f t="shared" si="15"/>
        <v>7505.1651521185568</v>
      </c>
      <c r="F80" s="28">
        <f t="shared" si="16"/>
        <v>2501.7217173728523</v>
      </c>
      <c r="G80" s="40" t="s">
        <v>45</v>
      </c>
      <c r="H80" s="28">
        <f>((B71-1)*(B69*B70-1))</f>
        <v>34</v>
      </c>
      <c r="I80" s="28">
        <f>D95</f>
        <v>2076156.4193114638</v>
      </c>
      <c r="J80" s="28">
        <f t="shared" si="17"/>
        <v>61063.424097395997</v>
      </c>
      <c r="O80" s="30">
        <v>4</v>
      </c>
      <c r="P80" s="28">
        <f t="shared" si="19"/>
        <v>2608.5238446988878</v>
      </c>
      <c r="Q80" s="31">
        <f t="shared" si="20"/>
        <v>5</v>
      </c>
      <c r="R80" s="37">
        <v>4</v>
      </c>
    </row>
    <row r="81" spans="1:18" x14ac:dyDescent="0.25">
      <c r="A81" s="27" t="s">
        <v>46</v>
      </c>
      <c r="B81" s="44">
        <v>2060.8365019011408</v>
      </c>
      <c r="C81" s="44">
        <v>2133.8582677165355</v>
      </c>
      <c r="D81" s="44">
        <v>2216.7689161554194</v>
      </c>
      <c r="E81" s="28">
        <f t="shared" si="15"/>
        <v>6411.4636857730948</v>
      </c>
      <c r="F81" s="28">
        <f t="shared" si="16"/>
        <v>2137.1545619243648</v>
      </c>
      <c r="G81" s="39" t="s">
        <v>20</v>
      </c>
      <c r="H81" s="28">
        <f>SUM(H75:H80)-H76</f>
        <v>53</v>
      </c>
      <c r="I81" s="28">
        <f>B94</f>
        <v>44141100.581087112</v>
      </c>
      <c r="K81" s="28" t="s">
        <v>47</v>
      </c>
      <c r="L81" s="16">
        <f>TINV(0.05,34)</f>
        <v>2.0322445093177191</v>
      </c>
      <c r="O81" s="30">
        <v>5</v>
      </c>
      <c r="P81" s="28">
        <f t="shared" si="19"/>
        <v>2618.7347650850957</v>
      </c>
      <c r="Q81" s="31">
        <f t="shared" si="20"/>
        <v>4</v>
      </c>
      <c r="R81" s="35">
        <v>5</v>
      </c>
    </row>
    <row r="82" spans="1:18" x14ac:dyDescent="0.25">
      <c r="A82" s="27" t="s">
        <v>48</v>
      </c>
      <c r="B82" s="44">
        <v>5472.6368159203976</v>
      </c>
      <c r="C82" s="44">
        <v>4867.2566371681414</v>
      </c>
      <c r="D82" s="44">
        <v>4150.9433962264156</v>
      </c>
      <c r="E82" s="28">
        <f t="shared" si="15"/>
        <v>14490.836849314954</v>
      </c>
      <c r="F82" s="28">
        <f t="shared" si="16"/>
        <v>4830.2789497716512</v>
      </c>
      <c r="G82" s="42" t="s">
        <v>33</v>
      </c>
      <c r="H82" s="28">
        <f>SQRT(J80/3)</f>
        <v>142.66910912714076</v>
      </c>
      <c r="O82" s="30">
        <v>6</v>
      </c>
      <c r="P82" s="28">
        <f t="shared" si="19"/>
        <v>2304.6766895069045</v>
      </c>
      <c r="Q82" s="31">
        <f t="shared" si="20"/>
        <v>8</v>
      </c>
      <c r="R82" s="37">
        <v>8</v>
      </c>
    </row>
    <row r="83" spans="1:18" x14ac:dyDescent="0.25">
      <c r="A83" s="27" t="s">
        <v>49</v>
      </c>
      <c r="B83" s="44">
        <v>2601.5625</v>
      </c>
      <c r="C83" s="44">
        <v>2642.8571428571431</v>
      </c>
      <c r="D83" s="44">
        <v>2822.0338983050847</v>
      </c>
      <c r="E83" s="28">
        <f t="shared" si="15"/>
        <v>8066.4535411622273</v>
      </c>
      <c r="F83" s="28">
        <f t="shared" si="16"/>
        <v>2688.8178470540756</v>
      </c>
      <c r="G83" s="42" t="s">
        <v>37</v>
      </c>
      <c r="H83" s="28">
        <f>(SQRT((2*J80)/3))*L81</f>
        <v>410.03497829048717</v>
      </c>
      <c r="O83" s="30">
        <v>7</v>
      </c>
      <c r="P83" s="28">
        <f t="shared" si="19"/>
        <v>2384.3824915863615</v>
      </c>
      <c r="Q83" s="31">
        <f t="shared" si="20"/>
        <v>6</v>
      </c>
      <c r="R83" s="37">
        <v>6</v>
      </c>
    </row>
    <row r="84" spans="1:18" x14ac:dyDescent="0.25">
      <c r="A84" s="27" t="s">
        <v>50</v>
      </c>
      <c r="B84" s="44">
        <v>2675.8793969849248</v>
      </c>
      <c r="C84" s="44">
        <v>3034.1880341880342</v>
      </c>
      <c r="D84" s="44">
        <v>2696.2025316455697</v>
      </c>
      <c r="E84" s="28">
        <f t="shared" si="15"/>
        <v>8406.2699628185292</v>
      </c>
      <c r="F84" s="28">
        <f t="shared" si="16"/>
        <v>2802.0899876061762</v>
      </c>
      <c r="G84" s="42" t="s">
        <v>51</v>
      </c>
      <c r="H84" s="28">
        <f>((SQRT(J80))/F91)*100</f>
        <v>8.909946120349753</v>
      </c>
      <c r="O84" s="30">
        <v>8</v>
      </c>
      <c r="P84" s="28">
        <f t="shared" si="19"/>
        <v>2321.5073989958878</v>
      </c>
      <c r="Q84" s="31">
        <f t="shared" si="20"/>
        <v>7</v>
      </c>
      <c r="R84" s="35">
        <v>7</v>
      </c>
    </row>
    <row r="85" spans="1:18" x14ac:dyDescent="0.25">
      <c r="A85" s="27" t="s">
        <v>52</v>
      </c>
      <c r="B85" s="44">
        <v>2291.358024691358</v>
      </c>
      <c r="C85" s="44">
        <v>2592.1787709497207</v>
      </c>
      <c r="D85" s="44">
        <v>2230.7692307692305</v>
      </c>
      <c r="E85" s="28">
        <f t="shared" si="15"/>
        <v>7114.3060264103096</v>
      </c>
      <c r="F85" s="28">
        <f t="shared" si="16"/>
        <v>2371.43534213677</v>
      </c>
      <c r="O85" s="30">
        <v>9</v>
      </c>
      <c r="P85" s="28">
        <f t="shared" si="19"/>
        <v>1934.0606546684146</v>
      </c>
      <c r="Q85" s="31">
        <f>RANK(P85,P$77:P$85,0)</f>
        <v>9</v>
      </c>
      <c r="R85" s="37">
        <v>9</v>
      </c>
    </row>
    <row r="86" spans="1:18" x14ac:dyDescent="0.25">
      <c r="A86" s="27" t="s">
        <v>53</v>
      </c>
      <c r="B86" s="44">
        <v>2351.1235955056181</v>
      </c>
      <c r="C86" s="44">
        <v>2168.3937823834194</v>
      </c>
      <c r="D86" s="44">
        <v>2426.086956521739</v>
      </c>
      <c r="E86" s="28">
        <f t="shared" si="15"/>
        <v>6945.6043344107766</v>
      </c>
      <c r="F86" s="28">
        <f t="shared" si="16"/>
        <v>2315.201444803592</v>
      </c>
      <c r="O86" s="25" t="s">
        <v>33</v>
      </c>
      <c r="P86" s="33">
        <f>SQRT(J80/(3*2))</f>
        <v>100.8822945296448</v>
      </c>
      <c r="Q86" s="31"/>
    </row>
    <row r="87" spans="1:18" x14ac:dyDescent="0.25">
      <c r="A87" s="27" t="s">
        <v>55</v>
      </c>
      <c r="B87" s="44">
        <v>2130.1204819277104</v>
      </c>
      <c r="C87" s="44">
        <v>2075.1173708920187</v>
      </c>
      <c r="D87" s="44">
        <v>1951.4348785871966</v>
      </c>
      <c r="E87" s="28">
        <f t="shared" si="15"/>
        <v>6156.6727314069267</v>
      </c>
      <c r="F87" s="28">
        <f t="shared" si="16"/>
        <v>2052.224243802309</v>
      </c>
      <c r="G87" s="43"/>
      <c r="N87" s="25" t="s">
        <v>41</v>
      </c>
      <c r="O87" s="25" t="s">
        <v>37</v>
      </c>
      <c r="P87" s="33">
        <f>SQRT((2*J80)/(3*2))*L81</f>
        <v>289.93851367288227</v>
      </c>
      <c r="Q87" s="31"/>
    </row>
    <row r="88" spans="1:18" x14ac:dyDescent="0.25">
      <c r="A88" s="27" t="s">
        <v>56</v>
      </c>
      <c r="B88" s="44">
        <v>2581.3333333333335</v>
      </c>
      <c r="C88" s="44">
        <v>2037.8947368421052</v>
      </c>
      <c r="D88" s="44">
        <v>2225.2873563218391</v>
      </c>
      <c r="E88" s="28">
        <f t="shared" si="15"/>
        <v>6844.515426497278</v>
      </c>
      <c r="F88" s="28">
        <f>E88/3</f>
        <v>2281.5051421657595</v>
      </c>
      <c r="G88" s="43"/>
      <c r="Q88" s="31"/>
    </row>
    <row r="89" spans="1:18" x14ac:dyDescent="0.25">
      <c r="A89" s="27" t="s">
        <v>57</v>
      </c>
      <c r="B89" s="44">
        <v>2079.6731358529109</v>
      </c>
      <c r="C89" s="44">
        <v>2056.5656565656564</v>
      </c>
      <c r="D89" s="44">
        <v>2287.6404494382023</v>
      </c>
      <c r="E89" s="28">
        <f t="shared" si="15"/>
        <v>6423.87924185677</v>
      </c>
      <c r="F89" s="28">
        <f t="shared" ref="F89:F90" si="22">E89/3</f>
        <v>2141.2930806189233</v>
      </c>
      <c r="G89" s="43"/>
    </row>
    <row r="90" spans="1:18" x14ac:dyDescent="0.25">
      <c r="A90" s="27" t="s">
        <v>58</v>
      </c>
      <c r="B90" s="44">
        <v>1802.1052631578948</v>
      </c>
      <c r="C90" s="44">
        <v>1600</v>
      </c>
      <c r="D90" s="44">
        <v>1790.794979079498</v>
      </c>
      <c r="E90" s="28">
        <f t="shared" si="15"/>
        <v>5192.9002422373933</v>
      </c>
      <c r="F90" s="28">
        <f t="shared" si="22"/>
        <v>1730.9667474124644</v>
      </c>
      <c r="G90" s="43"/>
    </row>
    <row r="91" spans="1:18" x14ac:dyDescent="0.25">
      <c r="A91" s="25" t="s">
        <v>20</v>
      </c>
      <c r="B91" s="28">
        <f>SUM(B73:B90)</f>
        <v>49912.612456965231</v>
      </c>
      <c r="C91" s="28">
        <f t="shared" ref="C91:D91" si="23">SUM(C73:C90)</f>
        <v>50068.410728483388</v>
      </c>
      <c r="D91" s="28">
        <f t="shared" si="23"/>
        <v>49783.607109882476</v>
      </c>
      <c r="E91" s="28">
        <f>SUM(E73:E90)</f>
        <v>149764.6302953311</v>
      </c>
      <c r="F91" s="28">
        <f>AVERAGE(B73:D90)</f>
        <v>2773.4190795431691</v>
      </c>
      <c r="G91" s="43"/>
    </row>
    <row r="92" spans="1:18" x14ac:dyDescent="0.25">
      <c r="A92" s="25" t="s">
        <v>11</v>
      </c>
      <c r="B92" s="28">
        <f>B91/18</f>
        <v>2772.9229142758463</v>
      </c>
      <c r="C92" s="28">
        <f>C91/18</f>
        <v>2781.5783738046325</v>
      </c>
      <c r="D92" s="28">
        <f>D91/18</f>
        <v>2765.7559505490262</v>
      </c>
      <c r="G92" s="43"/>
    </row>
    <row r="93" spans="1:18" x14ac:dyDescent="0.25">
      <c r="A93" s="25" t="s">
        <v>59</v>
      </c>
      <c r="B93" s="28">
        <f>(E91*E91)/54</f>
        <v>415360083.10180008</v>
      </c>
      <c r="C93" s="28"/>
      <c r="D93" s="28"/>
      <c r="G93" s="43"/>
    </row>
    <row r="94" spans="1:18" x14ac:dyDescent="0.25">
      <c r="A94" s="25" t="s">
        <v>60</v>
      </c>
      <c r="B94" s="28">
        <f>SUMSQ(B73:D90)-B93</f>
        <v>44141100.581087112</v>
      </c>
      <c r="C94" s="25" t="s">
        <v>61</v>
      </c>
      <c r="D94" s="28">
        <f>(SUMSQ(B91:D91)/18)-B93</f>
        <v>2259.7885584235191</v>
      </c>
      <c r="G94" s="43"/>
    </row>
    <row r="95" spans="1:18" x14ac:dyDescent="0.25">
      <c r="A95" s="25" t="s">
        <v>62</v>
      </c>
      <c r="B95" s="28">
        <f>(SUMSQ(E73:E90)/3)-B93</f>
        <v>42062684.373217225</v>
      </c>
      <c r="C95" s="25" t="s">
        <v>63</v>
      </c>
      <c r="D95" s="28">
        <f>B94-B95-D94</f>
        <v>2076156.4193114638</v>
      </c>
      <c r="G95" s="43"/>
    </row>
    <row r="99" spans="1:18" ht="18.75" x14ac:dyDescent="0.3">
      <c r="C99" s="85" t="s">
        <v>123</v>
      </c>
    </row>
    <row r="101" spans="1:18" x14ac:dyDescent="0.25">
      <c r="A101" s="19" t="s">
        <v>13</v>
      </c>
      <c r="B101" s="20">
        <v>2</v>
      </c>
      <c r="C101" s="21"/>
      <c r="D101" s="21"/>
      <c r="E101" s="21"/>
      <c r="F101" s="21"/>
      <c r="G101" s="21"/>
      <c r="H101" s="21"/>
      <c r="L101" s="21"/>
      <c r="M101" s="22"/>
      <c r="N101" s="22"/>
      <c r="O101" s="21"/>
      <c r="P101" s="21"/>
    </row>
    <row r="102" spans="1:18" x14ac:dyDescent="0.25">
      <c r="A102" s="19" t="s">
        <v>14</v>
      </c>
      <c r="B102" s="20">
        <v>9</v>
      </c>
      <c r="C102" s="21" t="s">
        <v>15</v>
      </c>
      <c r="D102" s="21">
        <v>18</v>
      </c>
      <c r="E102" s="21"/>
      <c r="F102" s="21"/>
      <c r="G102" s="21"/>
      <c r="H102" s="21"/>
      <c r="L102" s="21"/>
      <c r="M102" s="22"/>
      <c r="N102" s="22"/>
      <c r="O102" s="21"/>
      <c r="P102" s="21"/>
    </row>
    <row r="103" spans="1:18" x14ac:dyDescent="0.25">
      <c r="A103" s="15" t="s">
        <v>16</v>
      </c>
      <c r="B103" s="23">
        <v>3</v>
      </c>
    </row>
    <row r="104" spans="1:18" x14ac:dyDescent="0.25">
      <c r="A104" s="24" t="s">
        <v>0</v>
      </c>
      <c r="B104" s="25" t="s">
        <v>17</v>
      </c>
      <c r="C104" s="25" t="s">
        <v>18</v>
      </c>
      <c r="D104" s="25" t="s">
        <v>19</v>
      </c>
      <c r="E104" s="25" t="s">
        <v>20</v>
      </c>
      <c r="F104" s="25" t="s">
        <v>11</v>
      </c>
      <c r="O104" s="16" t="s">
        <v>21</v>
      </c>
      <c r="R104" s="16"/>
    </row>
    <row r="105" spans="1:18" x14ac:dyDescent="0.25">
      <c r="A105" s="27" t="s">
        <v>22</v>
      </c>
      <c r="B105" s="9">
        <v>1561</v>
      </c>
      <c r="C105" s="9">
        <v>1560</v>
      </c>
      <c r="D105" s="9">
        <v>1650</v>
      </c>
      <c r="E105" s="28">
        <f>SUM(B105:D105)</f>
        <v>4771</v>
      </c>
      <c r="F105" s="28">
        <f>E105/3</f>
        <v>1590.3333333333333</v>
      </c>
      <c r="H105" s="29"/>
      <c r="I105" s="29"/>
      <c r="J105" s="29" t="s">
        <v>23</v>
      </c>
      <c r="K105" s="29"/>
      <c r="L105" s="29"/>
      <c r="M105" s="29"/>
      <c r="N105" s="29"/>
      <c r="O105" s="30">
        <v>1</v>
      </c>
      <c r="P105" s="28">
        <f>SUM(F105:F113)/9</f>
        <v>1077.7777777777778</v>
      </c>
      <c r="Q105" s="31">
        <f>RANK(P105,P$105:P$106,0)</f>
        <v>2</v>
      </c>
      <c r="R105" s="16"/>
    </row>
    <row r="106" spans="1:18" x14ac:dyDescent="0.25">
      <c r="A106" s="27" t="s">
        <v>24</v>
      </c>
      <c r="B106" s="9">
        <v>1200</v>
      </c>
      <c r="C106" s="9">
        <v>1210</v>
      </c>
      <c r="D106" s="9">
        <v>1190</v>
      </c>
      <c r="E106" s="28">
        <f t="shared" ref="E106:E122" si="24">SUM(B106:D106)</f>
        <v>3600</v>
      </c>
      <c r="F106" s="28">
        <f t="shared" ref="F106:F119" si="25">E106/3</f>
        <v>1200</v>
      </c>
      <c r="G106" s="28"/>
      <c r="H106" s="25" t="s">
        <v>25</v>
      </c>
      <c r="I106" s="25" t="s">
        <v>26</v>
      </c>
      <c r="J106" s="25" t="s">
        <v>27</v>
      </c>
      <c r="K106" s="25" t="s">
        <v>28</v>
      </c>
      <c r="L106" s="25" t="s">
        <v>29</v>
      </c>
      <c r="M106" s="25" t="s">
        <v>30</v>
      </c>
      <c r="N106" s="32"/>
      <c r="O106" s="30">
        <v>2</v>
      </c>
      <c r="P106" s="28">
        <f>SUM(F114:F122)/9</f>
        <v>1153.2962962962963</v>
      </c>
      <c r="Q106" s="31">
        <f>RANK(P106,P$105:P$106,0)</f>
        <v>1</v>
      </c>
      <c r="R106" s="16"/>
    </row>
    <row r="107" spans="1:18" x14ac:dyDescent="0.25">
      <c r="A107" s="27" t="s">
        <v>31</v>
      </c>
      <c r="B107" s="9">
        <v>1101</v>
      </c>
      <c r="C107" s="9">
        <v>1110</v>
      </c>
      <c r="D107" s="9">
        <v>1070</v>
      </c>
      <c r="E107" s="28">
        <f t="shared" si="24"/>
        <v>3281</v>
      </c>
      <c r="F107" s="28">
        <f t="shared" si="25"/>
        <v>1093.6666666666667</v>
      </c>
      <c r="G107" s="28" t="s">
        <v>32</v>
      </c>
      <c r="H107" s="28">
        <f>B103-1</f>
        <v>2</v>
      </c>
      <c r="I107" s="28">
        <f>D126</f>
        <v>1002.925925925374</v>
      </c>
      <c r="J107" s="28">
        <f>I107/H107</f>
        <v>501.46296296268702</v>
      </c>
      <c r="K107" s="28">
        <f>J107/$J$16</f>
        <v>3.2691681709451402E-3</v>
      </c>
      <c r="L107" s="28">
        <f>FINV(0.05,H107,$H$16)</f>
        <v>3.275897990672394</v>
      </c>
      <c r="M107" s="28" t="str">
        <f>IF(K107&gt;=L107, "S", "NS")</f>
        <v>NS</v>
      </c>
      <c r="N107" s="21"/>
      <c r="O107" s="25" t="s">
        <v>33</v>
      </c>
      <c r="P107" s="33">
        <f>SQRT(J112/(3*9))</f>
        <v>7.2673107942972397</v>
      </c>
      <c r="R107" s="16"/>
    </row>
    <row r="108" spans="1:18" x14ac:dyDescent="0.25">
      <c r="A108" s="27" t="s">
        <v>34</v>
      </c>
      <c r="B108" s="9">
        <v>1084</v>
      </c>
      <c r="C108" s="9">
        <v>1070</v>
      </c>
      <c r="D108" s="9">
        <v>1070</v>
      </c>
      <c r="E108" s="28">
        <f t="shared" si="24"/>
        <v>3224</v>
      </c>
      <c r="F108" s="28">
        <f t="shared" si="25"/>
        <v>1074.6666666666667</v>
      </c>
      <c r="G108" s="28" t="s">
        <v>35</v>
      </c>
      <c r="H108" s="28">
        <f>D102-1</f>
        <v>17</v>
      </c>
      <c r="I108" s="28">
        <f>B127</f>
        <v>1678551.4259259254</v>
      </c>
      <c r="J108" s="28">
        <f t="shared" ref="J108:J112" si="26">I108/H108</f>
        <v>98738.319172113261</v>
      </c>
      <c r="K108" s="28">
        <f>J108/$J$16</f>
        <v>0.64370091937201235</v>
      </c>
      <c r="L108" s="28">
        <f>FINV(0.05,H108,$H$16)</f>
        <v>1.9332068318040869</v>
      </c>
      <c r="M108" s="34" t="str">
        <f t="shared" ref="M108" si="27">IF(K108&gt;=L108, "S", "NS")</f>
        <v>NS</v>
      </c>
      <c r="N108" s="25" t="s">
        <v>36</v>
      </c>
      <c r="O108" s="25" t="s">
        <v>37</v>
      </c>
      <c r="P108" s="33">
        <f>SQRT((2*J112)/(3*9))*L113</f>
        <v>20.88645286986668</v>
      </c>
      <c r="R108" s="16"/>
    </row>
    <row r="109" spans="1:18" x14ac:dyDescent="0.25">
      <c r="A109" s="27" t="s">
        <v>38</v>
      </c>
      <c r="B109" s="9">
        <v>1002</v>
      </c>
      <c r="C109" s="9">
        <v>1001</v>
      </c>
      <c r="D109" s="9">
        <v>1020</v>
      </c>
      <c r="E109" s="28">
        <f t="shared" si="24"/>
        <v>3023</v>
      </c>
      <c r="F109" s="28">
        <f t="shared" si="25"/>
        <v>1007.6666666666666</v>
      </c>
      <c r="G109" s="28" t="s">
        <v>39</v>
      </c>
      <c r="H109" s="28">
        <f>B101-1</f>
        <v>1</v>
      </c>
      <c r="I109" s="28">
        <f>(SUM(E105:E113)^2+SUM(E114:E122)^2)/27-B125</f>
        <v>76991.12962962687</v>
      </c>
      <c r="J109" s="28">
        <f t="shared" si="26"/>
        <v>76991.12962962687</v>
      </c>
      <c r="K109" s="28">
        <f>J109/$J$16</f>
        <v>0.50192530459924678</v>
      </c>
      <c r="L109" s="28">
        <f>FINV(0.05,H109,$H$16)</f>
        <v>4.1300177456520188</v>
      </c>
      <c r="M109" s="28" t="str">
        <f>IF(K109&gt;=L109, "S", "NS")</f>
        <v>NS</v>
      </c>
      <c r="N109" s="21"/>
      <c r="O109" s="30">
        <v>1</v>
      </c>
      <c r="P109" s="28">
        <f>(F105+F114)/2</f>
        <v>1470.3333333333333</v>
      </c>
      <c r="Q109" s="31">
        <f>RANK(P109,P$109:P$117,0)</f>
        <v>1</v>
      </c>
      <c r="R109" s="35">
        <v>1</v>
      </c>
    </row>
    <row r="110" spans="1:18" x14ac:dyDescent="0.25">
      <c r="A110" s="27" t="s">
        <v>40</v>
      </c>
      <c r="B110" s="9">
        <v>941</v>
      </c>
      <c r="C110" s="9">
        <v>941</v>
      </c>
      <c r="D110" s="9">
        <v>945</v>
      </c>
      <c r="E110" s="28">
        <f t="shared" si="24"/>
        <v>2827</v>
      </c>
      <c r="F110" s="28">
        <f t="shared" si="25"/>
        <v>942.33333333333337</v>
      </c>
      <c r="G110" s="28" t="s">
        <v>41</v>
      </c>
      <c r="H110" s="28">
        <f>B102-1</f>
        <v>8</v>
      </c>
      <c r="I110" s="28">
        <f>((E105+E114)^2+(E106+E115)^2+(E107+E116)^2+(E108+E117)^2+(E109+E118)^2+(E110+E119)^2+(E111+E120)^2+(E112+E121)^2+(E113+E122)^2/6)-B125</f>
        <v>322132220.5925926</v>
      </c>
      <c r="J110" s="28">
        <f t="shared" si="26"/>
        <v>40266527.574074075</v>
      </c>
      <c r="K110" s="28">
        <f>J110/$J$16</f>
        <v>262.50802157335551</v>
      </c>
      <c r="L110" s="28">
        <f>FINV(0.05,H110,$H$16)</f>
        <v>2.2253399674380931</v>
      </c>
      <c r="M110" s="28" t="str">
        <f>IF(K110&gt;=L110, "S", "NS")</f>
        <v>S</v>
      </c>
      <c r="N110" s="21"/>
      <c r="O110" s="30">
        <v>2</v>
      </c>
      <c r="P110" s="28">
        <f t="shared" ref="P110:P117" si="28">(F106+F115)/2</f>
        <v>1248.8333333333335</v>
      </c>
      <c r="Q110" s="31">
        <f t="shared" ref="Q110:Q117" si="29">RANK(P110,P$109:P$117,0)</f>
        <v>2</v>
      </c>
      <c r="R110" s="37">
        <v>2</v>
      </c>
    </row>
    <row r="111" spans="1:18" x14ac:dyDescent="0.25">
      <c r="A111" s="27" t="s">
        <v>42</v>
      </c>
      <c r="B111" s="9">
        <v>1140</v>
      </c>
      <c r="C111" s="9">
        <v>946</v>
      </c>
      <c r="D111" s="9">
        <v>960</v>
      </c>
      <c r="E111" s="28">
        <f t="shared" si="24"/>
        <v>3046</v>
      </c>
      <c r="F111" s="28">
        <f t="shared" si="25"/>
        <v>1015.3333333333334</v>
      </c>
      <c r="G111" s="38" t="s">
        <v>43</v>
      </c>
      <c r="H111" s="28">
        <f>H109*H110</f>
        <v>8</v>
      </c>
      <c r="I111" s="28">
        <f>I108-(I109+I110)</f>
        <v>-320530660.2962963</v>
      </c>
      <c r="J111" s="28">
        <f t="shared" si="26"/>
        <v>-40066332.537037037</v>
      </c>
      <c r="K111" s="39">
        <f>J111/$J$16</f>
        <v>-261.20289778276486</v>
      </c>
      <c r="L111" s="28">
        <f>FINV(0.05,H111,$H$16)</f>
        <v>2.2253399674380931</v>
      </c>
      <c r="M111" s="28" t="str">
        <f t="shared" ref="M111" si="30">IF(K111&gt;=L111, "S", "NS")</f>
        <v>NS</v>
      </c>
      <c r="N111" s="21"/>
      <c r="O111" s="30">
        <v>3</v>
      </c>
      <c r="P111" s="28">
        <f t="shared" si="28"/>
        <v>1145.1666666666667</v>
      </c>
      <c r="Q111" s="31">
        <f t="shared" si="29"/>
        <v>3</v>
      </c>
      <c r="R111" s="37">
        <v>3</v>
      </c>
    </row>
    <row r="112" spans="1:18" x14ac:dyDescent="0.25">
      <c r="A112" s="27" t="s">
        <v>44</v>
      </c>
      <c r="B112" s="9">
        <v>960</v>
      </c>
      <c r="C112" s="9">
        <v>968</v>
      </c>
      <c r="D112" s="9">
        <v>974</v>
      </c>
      <c r="E112" s="28">
        <f t="shared" si="24"/>
        <v>2902</v>
      </c>
      <c r="F112" s="28">
        <f t="shared" si="25"/>
        <v>967.33333333333337</v>
      </c>
      <c r="G112" s="40" t="s">
        <v>45</v>
      </c>
      <c r="H112" s="28">
        <f>((B103-1)*(B101*B102-1))</f>
        <v>34</v>
      </c>
      <c r="I112" s="28">
        <f>D127</f>
        <v>48483.074074074626</v>
      </c>
      <c r="J112" s="28">
        <f t="shared" si="26"/>
        <v>1425.9727668845478</v>
      </c>
      <c r="O112" s="30">
        <v>4</v>
      </c>
      <c r="P112" s="28">
        <f t="shared" si="28"/>
        <v>1119</v>
      </c>
      <c r="Q112" s="31">
        <f t="shared" si="29"/>
        <v>5</v>
      </c>
      <c r="R112" s="37">
        <v>4</v>
      </c>
    </row>
    <row r="113" spans="1:18" x14ac:dyDescent="0.25">
      <c r="A113" s="27" t="s">
        <v>46</v>
      </c>
      <c r="B113" s="9">
        <v>836</v>
      </c>
      <c r="C113" s="9">
        <v>776</v>
      </c>
      <c r="D113" s="9">
        <v>814</v>
      </c>
      <c r="E113" s="28">
        <f t="shared" si="24"/>
        <v>2426</v>
      </c>
      <c r="F113" s="28">
        <f t="shared" si="25"/>
        <v>808.66666666666663</v>
      </c>
      <c r="G113" s="39" t="s">
        <v>20</v>
      </c>
      <c r="H113" s="28">
        <f>SUM(H107:H112)-H108</f>
        <v>53</v>
      </c>
      <c r="I113" s="28">
        <f>B126</f>
        <v>1728037.4259259254</v>
      </c>
      <c r="K113" s="28" t="s">
        <v>47</v>
      </c>
      <c r="L113" s="16">
        <f>TINV(0.05,34)</f>
        <v>2.0322445093177191</v>
      </c>
      <c r="O113" s="30">
        <v>5</v>
      </c>
      <c r="P113" s="28">
        <f t="shared" si="28"/>
        <v>1121.8333333333333</v>
      </c>
      <c r="Q113" s="31">
        <f t="shared" si="29"/>
        <v>4</v>
      </c>
      <c r="R113" s="35">
        <v>5</v>
      </c>
    </row>
    <row r="114" spans="1:18" x14ac:dyDescent="0.25">
      <c r="A114" s="27" t="s">
        <v>48</v>
      </c>
      <c r="B114" s="9">
        <v>1340</v>
      </c>
      <c r="C114" s="9">
        <v>1353</v>
      </c>
      <c r="D114" s="9">
        <v>1358</v>
      </c>
      <c r="E114" s="28">
        <f t="shared" si="24"/>
        <v>4051</v>
      </c>
      <c r="F114" s="28">
        <f t="shared" si="25"/>
        <v>1350.3333333333333</v>
      </c>
      <c r="G114" s="42" t="s">
        <v>33</v>
      </c>
      <c r="H114" s="28">
        <f>SQRT(J112/3)</f>
        <v>21.801932382891717</v>
      </c>
      <c r="O114" s="30">
        <v>6</v>
      </c>
      <c r="P114" s="28">
        <f t="shared" si="28"/>
        <v>1009.3333333333333</v>
      </c>
      <c r="Q114" s="31">
        <f t="shared" si="29"/>
        <v>8</v>
      </c>
      <c r="R114" s="37">
        <v>8</v>
      </c>
    </row>
    <row r="115" spans="1:18" x14ac:dyDescent="0.25">
      <c r="A115" s="27" t="s">
        <v>49</v>
      </c>
      <c r="B115" s="9">
        <v>1274</v>
      </c>
      <c r="C115" s="9">
        <v>1260</v>
      </c>
      <c r="D115" s="9">
        <v>1359</v>
      </c>
      <c r="E115" s="28">
        <f t="shared" si="24"/>
        <v>3893</v>
      </c>
      <c r="F115" s="28">
        <f t="shared" si="25"/>
        <v>1297.6666666666667</v>
      </c>
      <c r="G115" s="42" t="s">
        <v>37</v>
      </c>
      <c r="H115" s="28">
        <f>(SQRT((2*J112)/3))*L113</f>
        <v>62.659358609600041</v>
      </c>
      <c r="O115" s="30">
        <v>7</v>
      </c>
      <c r="P115" s="28">
        <f t="shared" si="28"/>
        <v>1042.5</v>
      </c>
      <c r="Q115" s="31">
        <f t="shared" si="29"/>
        <v>6</v>
      </c>
      <c r="R115" s="37">
        <v>6</v>
      </c>
    </row>
    <row r="116" spans="1:18" x14ac:dyDescent="0.25">
      <c r="A116" s="27" t="s">
        <v>50</v>
      </c>
      <c r="B116" s="9">
        <v>1160</v>
      </c>
      <c r="C116" s="9">
        <v>1260</v>
      </c>
      <c r="D116" s="9">
        <v>1170</v>
      </c>
      <c r="E116" s="28">
        <f t="shared" si="24"/>
        <v>3590</v>
      </c>
      <c r="F116" s="28">
        <f t="shared" si="25"/>
        <v>1196.6666666666667</v>
      </c>
      <c r="G116" s="42" t="s">
        <v>51</v>
      </c>
      <c r="H116" s="28">
        <f>((SQRT(J112))/F123)*100</f>
        <v>3.3851009277691886</v>
      </c>
      <c r="O116" s="30">
        <v>8</v>
      </c>
      <c r="P116" s="28">
        <f t="shared" si="28"/>
        <v>1020.6666666666667</v>
      </c>
      <c r="Q116" s="31">
        <f t="shared" si="29"/>
        <v>7</v>
      </c>
      <c r="R116" s="35">
        <v>7</v>
      </c>
    </row>
    <row r="117" spans="1:18" x14ac:dyDescent="0.25">
      <c r="A117" s="27" t="s">
        <v>52</v>
      </c>
      <c r="B117" s="9">
        <v>1160</v>
      </c>
      <c r="C117" s="9">
        <v>1170</v>
      </c>
      <c r="D117" s="9">
        <v>1160</v>
      </c>
      <c r="E117" s="28">
        <f t="shared" si="24"/>
        <v>3490</v>
      </c>
      <c r="F117" s="28">
        <f t="shared" si="25"/>
        <v>1163.3333333333333</v>
      </c>
      <c r="O117" s="30">
        <v>9</v>
      </c>
      <c r="P117" s="28">
        <f t="shared" si="28"/>
        <v>862.16666666666663</v>
      </c>
      <c r="Q117" s="31">
        <f t="shared" si="29"/>
        <v>9</v>
      </c>
      <c r="R117" s="37">
        <v>9</v>
      </c>
    </row>
    <row r="118" spans="1:18" x14ac:dyDescent="0.25">
      <c r="A118" s="27" t="s">
        <v>53</v>
      </c>
      <c r="B118" s="9">
        <v>1206</v>
      </c>
      <c r="C118" s="9">
        <v>1242</v>
      </c>
      <c r="D118" s="9">
        <v>1260</v>
      </c>
      <c r="E118" s="28">
        <f t="shared" si="24"/>
        <v>3708</v>
      </c>
      <c r="F118" s="28">
        <f t="shared" si="25"/>
        <v>1236</v>
      </c>
      <c r="O118" s="25" t="s">
        <v>33</v>
      </c>
      <c r="P118" s="33">
        <f>SQRT(J112/(3*2))</f>
        <v>15.416294230913319</v>
      </c>
      <c r="Q118" s="31"/>
    </row>
    <row r="119" spans="1:18" x14ac:dyDescent="0.25">
      <c r="A119" s="27" t="s">
        <v>55</v>
      </c>
      <c r="B119" s="9">
        <v>1074</v>
      </c>
      <c r="C119" s="9">
        <v>1080</v>
      </c>
      <c r="D119" s="9">
        <v>1075</v>
      </c>
      <c r="E119" s="28">
        <f t="shared" si="24"/>
        <v>3229</v>
      </c>
      <c r="F119" s="28">
        <f t="shared" si="25"/>
        <v>1076.3333333333333</v>
      </c>
      <c r="G119" s="43"/>
      <c r="N119" s="25" t="s">
        <v>41</v>
      </c>
      <c r="O119" s="25" t="s">
        <v>37</v>
      </c>
      <c r="P119" s="33">
        <f>SQRT((2*J112)/(3*2))*L113</f>
        <v>44.306857377647866</v>
      </c>
      <c r="Q119" s="31"/>
    </row>
    <row r="120" spans="1:18" x14ac:dyDescent="0.25">
      <c r="A120" s="27" t="s">
        <v>56</v>
      </c>
      <c r="B120" s="9">
        <v>1104</v>
      </c>
      <c r="C120" s="9">
        <v>1040</v>
      </c>
      <c r="D120" s="9">
        <v>1065</v>
      </c>
      <c r="E120" s="28">
        <f t="shared" si="24"/>
        <v>3209</v>
      </c>
      <c r="F120" s="28">
        <f>E120/3</f>
        <v>1069.6666666666667</v>
      </c>
      <c r="G120" s="43"/>
      <c r="Q120" s="31"/>
    </row>
    <row r="121" spans="1:18" x14ac:dyDescent="0.25">
      <c r="A121" s="27" t="s">
        <v>57</v>
      </c>
      <c r="B121" s="9">
        <v>1052</v>
      </c>
      <c r="C121" s="9">
        <v>1074</v>
      </c>
      <c r="D121" s="9">
        <v>1096</v>
      </c>
      <c r="E121" s="28">
        <f t="shared" si="24"/>
        <v>3222</v>
      </c>
      <c r="F121" s="28">
        <f t="shared" ref="F121:F122" si="31">E121/3</f>
        <v>1074</v>
      </c>
      <c r="G121" s="43"/>
    </row>
    <row r="122" spans="1:18" x14ac:dyDescent="0.25">
      <c r="A122" s="27" t="s">
        <v>58</v>
      </c>
      <c r="B122" s="9">
        <v>937</v>
      </c>
      <c r="C122" s="9">
        <v>909</v>
      </c>
      <c r="D122" s="9">
        <v>901</v>
      </c>
      <c r="E122" s="28">
        <f t="shared" si="24"/>
        <v>2747</v>
      </c>
      <c r="F122" s="28">
        <f t="shared" si="31"/>
        <v>915.66666666666663</v>
      </c>
      <c r="G122" s="43"/>
    </row>
    <row r="123" spans="1:18" x14ac:dyDescent="0.25">
      <c r="A123" s="25" t="s">
        <v>20</v>
      </c>
      <c r="B123" s="28">
        <f>SUM(B105:B122)</f>
        <v>20132</v>
      </c>
      <c r="C123" s="28">
        <f t="shared" ref="C123:D123" si="32">SUM(C105:C122)</f>
        <v>19970</v>
      </c>
      <c r="D123" s="28">
        <f t="shared" si="32"/>
        <v>20137</v>
      </c>
      <c r="E123" s="28">
        <f>SUM(E105:E122)</f>
        <v>60239</v>
      </c>
      <c r="F123" s="28">
        <f>AVERAGE(B105:D122)</f>
        <v>1115.537037037037</v>
      </c>
      <c r="G123" s="43"/>
    </row>
    <row r="124" spans="1:18" x14ac:dyDescent="0.25">
      <c r="A124" s="25" t="s">
        <v>11</v>
      </c>
      <c r="B124" s="28">
        <f>B123/18</f>
        <v>1118.4444444444443</v>
      </c>
      <c r="C124" s="28">
        <f>C123/18</f>
        <v>1109.4444444444443</v>
      </c>
      <c r="D124" s="28">
        <f>D123/18</f>
        <v>1118.7222222222222</v>
      </c>
      <c r="G124" s="43"/>
    </row>
    <row r="125" spans="1:18" x14ac:dyDescent="0.25">
      <c r="A125" s="25" t="s">
        <v>59</v>
      </c>
      <c r="B125" s="28">
        <f>(E123*E123)/54</f>
        <v>67198835.574074075</v>
      </c>
      <c r="C125" s="28"/>
      <c r="D125" s="28"/>
      <c r="G125" s="43"/>
    </row>
    <row r="126" spans="1:18" x14ac:dyDescent="0.25">
      <c r="A126" s="25" t="s">
        <v>60</v>
      </c>
      <c r="B126" s="28">
        <f>SUMSQ(B105:D122)-B125</f>
        <v>1728037.4259259254</v>
      </c>
      <c r="C126" s="25" t="s">
        <v>61</v>
      </c>
      <c r="D126" s="28">
        <f>(SUMSQ(B123:D123)/18)-B125</f>
        <v>1002.925925925374</v>
      </c>
      <c r="G126" s="43"/>
    </row>
    <row r="127" spans="1:18" x14ac:dyDescent="0.25">
      <c r="A127" s="25" t="s">
        <v>62</v>
      </c>
      <c r="B127" s="28">
        <f>(SUMSQ(E105:E122)/3)-B125</f>
        <v>1678551.4259259254</v>
      </c>
      <c r="C127" s="25" t="s">
        <v>63</v>
      </c>
      <c r="D127" s="28">
        <f>B126-B127-D126</f>
        <v>48483.074074074626</v>
      </c>
      <c r="G127" s="43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WF Original</vt:lpstr>
      <vt:lpstr>Weather data</vt:lpstr>
      <vt:lpstr>Grain Yiled</vt:lpstr>
      <vt:lpstr>water extraction pattern</vt:lpstr>
      <vt:lpstr>Water foot print</vt:lpstr>
      <vt:lpstr>BD</vt:lpstr>
      <vt:lpstr>Physical properties</vt:lpstr>
      <vt:lpstr>WF</vt:lpstr>
      <vt:lpstr>Percolation</vt:lpstr>
      <vt:lpstr>wp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2023-03-16T02:20:04Z</dcterms:modified>
</cp:coreProperties>
</file>