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\OneDrive\Documentos\PeerJ\ENVIO\ENVIO 2\"/>
    </mc:Choice>
  </mc:AlternateContent>
  <bookViews>
    <workbookView xWindow="0" yWindow="0" windowWidth="23040" windowHeight="9072" activeTab="6"/>
  </bookViews>
  <sheets>
    <sheet name="CH4 N mL" sheetId="6" r:id="rId1"/>
    <sheet name="CH4 gVS " sheetId="7" r:id="rId2"/>
    <sheet name="physc-chem" sheetId="2" r:id="rId3"/>
    <sheet name="chemic" sheetId="8" r:id="rId4"/>
    <sheet name="solids" sheetId="5" r:id="rId5"/>
    <sheet name="ADM1" sheetId="4" r:id="rId6"/>
    <sheet name=" ADM1 m" sheetId="3" r:id="rId7"/>
  </sheets>
  <externalReferences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7" i="5"/>
  <c r="G7" i="5"/>
  <c r="H5" i="5"/>
  <c r="G5" i="5"/>
  <c r="H3" i="5"/>
  <c r="G3" i="5"/>
  <c r="H6" i="5"/>
  <c r="G6" i="5"/>
  <c r="H4" i="5"/>
  <c r="G4" i="5"/>
  <c r="H2" i="5"/>
  <c r="G2" i="5"/>
  <c r="G3" i="8"/>
  <c r="F3" i="8"/>
  <c r="G4" i="8"/>
  <c r="F4" i="8"/>
  <c r="G2" i="8"/>
  <c r="F2" i="8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9" i="7"/>
  <c r="I3" i="7"/>
  <c r="I4" i="7"/>
  <c r="I5" i="7"/>
  <c r="I6" i="7"/>
  <c r="I7" i="7"/>
  <c r="I8" i="7"/>
  <c r="I10" i="7"/>
  <c r="I11" i="7"/>
  <c r="I12" i="7"/>
  <c r="I13" i="7"/>
  <c r="I14" i="7"/>
  <c r="H3" i="7"/>
  <c r="H4" i="7"/>
  <c r="H5" i="7"/>
  <c r="H6" i="7"/>
  <c r="H7" i="7"/>
  <c r="H8" i="7"/>
  <c r="H9" i="7"/>
  <c r="H10" i="7"/>
  <c r="H11" i="7"/>
  <c r="H12" i="7"/>
  <c r="H13" i="7"/>
  <c r="H14" i="7"/>
  <c r="G14" i="7" l="1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F9" i="7"/>
  <c r="E9" i="7"/>
  <c r="D9" i="7"/>
  <c r="C9" i="7"/>
  <c r="B9" i="7"/>
  <c r="G8" i="7"/>
  <c r="F8" i="7"/>
  <c r="E8" i="7"/>
  <c r="D8" i="7"/>
  <c r="C8" i="7"/>
  <c r="B8" i="7"/>
  <c r="G7" i="7"/>
  <c r="F7" i="7"/>
  <c r="E7" i="7"/>
  <c r="D7" i="7"/>
  <c r="C7" i="7"/>
  <c r="B7" i="7"/>
  <c r="G6" i="7"/>
  <c r="F6" i="7"/>
  <c r="E6" i="7"/>
  <c r="D6" i="7"/>
  <c r="C6" i="7"/>
  <c r="B6" i="7"/>
  <c r="G5" i="7"/>
  <c r="F5" i="7"/>
  <c r="E5" i="7"/>
  <c r="D5" i="7"/>
  <c r="C5" i="7"/>
  <c r="B5" i="7"/>
  <c r="G4" i="7"/>
  <c r="F4" i="7"/>
  <c r="E4" i="7"/>
  <c r="D4" i="7"/>
  <c r="C4" i="7"/>
  <c r="B4" i="7"/>
  <c r="G3" i="7"/>
  <c r="F3" i="7"/>
  <c r="E3" i="7"/>
  <c r="D3" i="7"/>
  <c r="C3" i="7"/>
  <c r="B3" i="7"/>
  <c r="J6" i="2"/>
  <c r="I6" i="2"/>
  <c r="I5" i="2"/>
  <c r="J5" i="2" s="1"/>
  <c r="J3" i="2"/>
  <c r="I3" i="2"/>
  <c r="J2" i="2"/>
  <c r="I2" i="2"/>
</calcChain>
</file>

<file path=xl/sharedStrings.xml><?xml version="1.0" encoding="utf-8"?>
<sst xmlns="http://schemas.openxmlformats.org/spreadsheetml/2006/main" count="138" uniqueCount="106">
  <si>
    <t>R1</t>
  </si>
  <si>
    <t>R2</t>
  </si>
  <si>
    <t>R3</t>
  </si>
  <si>
    <t>R4</t>
  </si>
  <si>
    <t>R5</t>
  </si>
  <si>
    <t>R6</t>
  </si>
  <si>
    <t>Days</t>
  </si>
  <si>
    <t>Mean</t>
  </si>
  <si>
    <t>SD</t>
  </si>
  <si>
    <t>unity</t>
  </si>
  <si>
    <t>PH initial</t>
  </si>
  <si>
    <t>PH final</t>
  </si>
  <si>
    <t>Alkalinity</t>
  </si>
  <si>
    <r>
      <t>mg CaCO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 xml:space="preserve"> L</t>
    </r>
    <r>
      <rPr>
        <vertAlign val="superscript"/>
        <sz val="10"/>
        <color rgb="FF000000"/>
        <rFont val="Calibri"/>
        <family val="2"/>
        <scheme val="minor"/>
      </rPr>
      <t>-1</t>
    </r>
  </si>
  <si>
    <t>COD removal</t>
  </si>
  <si>
    <t>%</t>
  </si>
  <si>
    <t>TOC</t>
  </si>
  <si>
    <t>TS</t>
  </si>
  <si>
    <r>
      <t>ppm mg</t>
    </r>
    <r>
      <rPr>
        <sz val="10"/>
        <color rgb="FF000000"/>
        <rFont val="Calibri"/>
        <family val="2"/>
        <scheme val="minor"/>
      </rPr>
      <t xml:space="preserve"> L</t>
    </r>
    <r>
      <rPr>
        <vertAlign val="superscript"/>
        <sz val="10"/>
        <color rgb="FF000000"/>
        <rFont val="Calibri"/>
        <family val="2"/>
        <scheme val="minor"/>
      </rPr>
      <t>-1</t>
    </r>
  </si>
  <si>
    <t>TVS</t>
  </si>
  <si>
    <t>VSS</t>
  </si>
  <si>
    <t>parameter</t>
  </si>
  <si>
    <t>total solids</t>
  </si>
  <si>
    <t>total volatile solids</t>
  </si>
  <si>
    <t>volatile suspended solids</t>
  </si>
  <si>
    <t>abreviation</t>
  </si>
  <si>
    <t>-</t>
  </si>
  <si>
    <r>
      <t>mg L</t>
    </r>
    <r>
      <rPr>
        <vertAlign val="superscript"/>
        <sz val="10"/>
        <color theme="1"/>
        <rFont val="Calibri"/>
        <family val="2"/>
        <scheme val="minor"/>
      </rPr>
      <t>-1</t>
    </r>
  </si>
  <si>
    <t>Reactor 1</t>
  </si>
  <si>
    <t>Reactor 2</t>
  </si>
  <si>
    <t>Reactor 3</t>
  </si>
  <si>
    <t>Reactor 5</t>
  </si>
  <si>
    <t>Reactor 6</t>
  </si>
  <si>
    <t xml:space="preserve">CH4 NmL cumulative production </t>
  </si>
  <si>
    <t>Reactor 4</t>
  </si>
  <si>
    <t>Sludge composition</t>
  </si>
  <si>
    <t>Model variables</t>
  </si>
  <si>
    <t>Amino Acid</t>
  </si>
  <si>
    <t>Complex Composite</t>
  </si>
  <si>
    <t>Monosaccharide</t>
  </si>
  <si>
    <t>Carbohydrate</t>
  </si>
  <si>
    <t>LCFA</t>
  </si>
  <si>
    <t>Proteins</t>
  </si>
  <si>
    <t>Total Valerate</t>
  </si>
  <si>
    <t>Lipids</t>
  </si>
  <si>
    <t>Total Butyrate</t>
  </si>
  <si>
    <t>Sugar Consumers</t>
  </si>
  <si>
    <t>Total Propionate</t>
  </si>
  <si>
    <t>Amino Acid Consumers</t>
  </si>
  <si>
    <t>Total Acetate</t>
  </si>
  <si>
    <t>LCFA Consumers</t>
  </si>
  <si>
    <t>Hydrogen Gas</t>
  </si>
  <si>
    <t>Valerate/Butyrate Consumers</t>
  </si>
  <si>
    <t>Methane Gas</t>
  </si>
  <si>
    <t>Propionate Consumers</t>
  </si>
  <si>
    <t>Inorganic Carbon</t>
  </si>
  <si>
    <t>Consumers of Acetate</t>
  </si>
  <si>
    <t>Inorganic Nitrogen</t>
  </si>
  <si>
    <t>Hydrogen Consumers</t>
  </si>
  <si>
    <t>Inert Soluble</t>
  </si>
  <si>
    <t>Inert Particulate</t>
  </si>
  <si>
    <t>(Kg COD m-3)</t>
  </si>
  <si>
    <t>x01 =1.5031e-02</t>
  </si>
  <si>
    <t>x013 =5.0183e+00</t>
  </si>
  <si>
    <t>x02 =6.7129e-03</t>
  </si>
  <si>
    <t>x014 =4.9515e-02</t>
  </si>
  <si>
    <t>x03 = 1.2853e-01</t>
  </si>
  <si>
    <t>x015 =1.5778e-01</t>
  </si>
  <si>
    <t>x04 = 1.4532e-02</t>
  </si>
  <si>
    <t>x016 =7.7605e-02</t>
  </si>
  <si>
    <t>x05 =1.6795e-02</t>
  </si>
  <si>
    <t>x017 =6.0868e-01</t>
  </si>
  <si>
    <t>x06 =2.0244e-02</t>
  </si>
  <si>
    <t>x018 =1.4414e+00</t>
  </si>
  <si>
    <t>x07 =4.2027e-02</t>
  </si>
  <si>
    <t>x019 =4.9932e-01</t>
  </si>
  <si>
    <t>x08 =0.00</t>
  </si>
  <si>
    <t>x020 =5.2954e-01</t>
  </si>
  <si>
    <t>x09 =0.00</t>
  </si>
  <si>
    <t>x021 =1.6868e-01</t>
  </si>
  <si>
    <t xml:space="preserve"> x010 =6.3799e-01</t>
  </si>
  <si>
    <t>x022 =1.0750e+00</t>
  </si>
  <si>
    <t>x011 =1.2453e-01</t>
  </si>
  <si>
    <t>x023 =4.5639e-01</t>
  </si>
  <si>
    <t>x012 =3.7066e+00</t>
  </si>
  <si>
    <t>x024 = 7.5005e+00</t>
  </si>
  <si>
    <t>ADM1 model detailed input data for SWS feedstock composition, based on the initial real SWS COD</t>
  </si>
  <si>
    <t>Day</t>
  </si>
  <si>
    <t>BMP assay</t>
  </si>
  <si>
    <t>ADM1 model</t>
  </si>
  <si>
    <t>Error (%)</t>
  </si>
  <si>
    <t xml:space="preserve">CH4   </t>
  </si>
  <si>
    <t>mean</t>
  </si>
  <si>
    <t>sd</t>
  </si>
  <si>
    <t>Methane yield  mL CH4 g-1 VS-1</t>
  </si>
  <si>
    <t>value1</t>
  </si>
  <si>
    <t>value2</t>
  </si>
  <si>
    <t>value3</t>
  </si>
  <si>
    <t>Value 1</t>
  </si>
  <si>
    <t>Value 2</t>
  </si>
  <si>
    <t>Value 3</t>
  </si>
  <si>
    <r>
      <t>Comparison between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production obtained experimentally by the BMP assays and estimated by the ADM1 computational modelling mL CH</t>
    </r>
    <r>
      <rPr>
        <vertAlign val="sub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g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 xml:space="preserve"> VS</t>
    </r>
    <r>
      <rPr>
        <vertAlign val="superscript"/>
        <sz val="11"/>
        <color theme="1"/>
        <rFont val="Times New Roman"/>
        <family val="1"/>
      </rPr>
      <t>-1</t>
    </r>
  </si>
  <si>
    <t>tCOD initial</t>
  </si>
  <si>
    <t>temperature</t>
  </si>
  <si>
    <t>°C</t>
  </si>
  <si>
    <t>tCODfinal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</si>
</sst>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ill="1"/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OneDrive/Documentos/PeerJ/GRAFICOS%20EXPERIMENTOS%20TEMPERATURA%2037%20COMPARA&#199;&#195;O%20DESEMPEN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UTORADO\TESE\TESE\CURVA%20DESVIO%20PADR&#195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ALIDA&#199;&#195;O%20BM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"/>
      <sheetName val="GRAFICO."/>
      <sheetName val="TENTATIVA DE GRAFICO"/>
      <sheetName val="Planilha3"/>
      <sheetName val="CH4"/>
      <sheetName val="OPERATIONAL"/>
      <sheetName val="Planilha2"/>
      <sheetName val="DESVIO PADRÃO"/>
      <sheetName val="CURVAS"/>
    </sheetNames>
    <sheetDataSet>
      <sheetData sheetId="0"/>
      <sheetData sheetId="1"/>
      <sheetData sheetId="2">
        <row r="2">
          <cell r="K2" t="str">
            <v>R1</v>
          </cell>
          <cell r="L2" t="str">
            <v>R1</v>
          </cell>
          <cell r="M2" t="str">
            <v>R3</v>
          </cell>
          <cell r="N2" t="str">
            <v>R4</v>
          </cell>
          <cell r="O2" t="str">
            <v>R5</v>
          </cell>
          <cell r="P2" t="str">
            <v>R6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J5">
            <v>1</v>
          </cell>
          <cell r="K5">
            <v>50</v>
          </cell>
          <cell r="L5">
            <v>50</v>
          </cell>
          <cell r="M5">
            <v>50</v>
          </cell>
          <cell r="N5">
            <v>50</v>
          </cell>
          <cell r="O5">
            <v>55</v>
          </cell>
          <cell r="P5">
            <v>55</v>
          </cell>
        </row>
        <row r="6">
          <cell r="J6">
            <v>2</v>
          </cell>
          <cell r="K6">
            <v>70</v>
          </cell>
          <cell r="L6">
            <v>70</v>
          </cell>
          <cell r="M6">
            <v>80</v>
          </cell>
          <cell r="N6">
            <v>80</v>
          </cell>
          <cell r="O6">
            <v>85</v>
          </cell>
          <cell r="P6">
            <v>85</v>
          </cell>
        </row>
        <row r="7">
          <cell r="J7">
            <v>3</v>
          </cell>
          <cell r="K7">
            <v>85</v>
          </cell>
          <cell r="L7">
            <v>90</v>
          </cell>
          <cell r="M7">
            <v>105</v>
          </cell>
          <cell r="N7">
            <v>95</v>
          </cell>
          <cell r="O7">
            <v>105</v>
          </cell>
          <cell r="P7">
            <v>98</v>
          </cell>
        </row>
        <row r="8">
          <cell r="J8">
            <v>4</v>
          </cell>
          <cell r="K8">
            <v>98</v>
          </cell>
          <cell r="L8">
            <v>102</v>
          </cell>
          <cell r="M8">
            <v>117</v>
          </cell>
          <cell r="N8">
            <v>105</v>
          </cell>
          <cell r="O8">
            <v>119</v>
          </cell>
          <cell r="P8">
            <v>112</v>
          </cell>
        </row>
        <row r="9">
          <cell r="J9">
            <v>5</v>
          </cell>
          <cell r="K9">
            <v>108</v>
          </cell>
          <cell r="L9">
            <v>112</v>
          </cell>
          <cell r="M9">
            <v>128</v>
          </cell>
          <cell r="N9">
            <v>111</v>
          </cell>
          <cell r="O9">
            <v>128</v>
          </cell>
          <cell r="P9">
            <v>118</v>
          </cell>
        </row>
        <row r="10">
          <cell r="J10">
            <v>6</v>
          </cell>
          <cell r="K10">
            <v>116</v>
          </cell>
          <cell r="L10">
            <v>123</v>
          </cell>
          <cell r="M10">
            <v>137</v>
          </cell>
          <cell r="N10">
            <v>119</v>
          </cell>
          <cell r="O10">
            <v>136</v>
          </cell>
          <cell r="P10">
            <v>126</v>
          </cell>
        </row>
        <row r="11">
          <cell r="J11">
            <v>7</v>
          </cell>
          <cell r="K11">
            <v>123</v>
          </cell>
          <cell r="L11">
            <v>135</v>
          </cell>
          <cell r="M11">
            <v>137</v>
          </cell>
          <cell r="N11">
            <v>127</v>
          </cell>
          <cell r="O11">
            <v>140</v>
          </cell>
          <cell r="P11">
            <v>130</v>
          </cell>
        </row>
        <row r="12">
          <cell r="J12">
            <v>8</v>
          </cell>
          <cell r="K12">
            <v>124</v>
          </cell>
          <cell r="L12">
            <v>143</v>
          </cell>
          <cell r="M12">
            <v>137</v>
          </cell>
          <cell r="N12">
            <v>135</v>
          </cell>
          <cell r="O12">
            <v>140</v>
          </cell>
          <cell r="P12">
            <v>130</v>
          </cell>
        </row>
        <row r="13">
          <cell r="J13">
            <v>9</v>
          </cell>
          <cell r="K13">
            <v>124</v>
          </cell>
          <cell r="L13">
            <v>143</v>
          </cell>
          <cell r="M13">
            <v>137</v>
          </cell>
          <cell r="N13">
            <v>142</v>
          </cell>
          <cell r="O13">
            <v>140</v>
          </cell>
          <cell r="P13">
            <v>130</v>
          </cell>
        </row>
        <row r="14">
          <cell r="J14">
            <v>10</v>
          </cell>
          <cell r="K14">
            <v>124</v>
          </cell>
          <cell r="L14">
            <v>143</v>
          </cell>
          <cell r="M14">
            <v>137</v>
          </cell>
          <cell r="N14">
            <v>142</v>
          </cell>
          <cell r="O14">
            <v>140</v>
          </cell>
          <cell r="P14">
            <v>130</v>
          </cell>
        </row>
        <row r="15">
          <cell r="J15">
            <v>11</v>
          </cell>
          <cell r="K15">
            <v>124</v>
          </cell>
          <cell r="L15">
            <v>143</v>
          </cell>
          <cell r="M15">
            <v>137</v>
          </cell>
          <cell r="N15">
            <v>142</v>
          </cell>
          <cell r="O15">
            <v>140</v>
          </cell>
          <cell r="P15">
            <v>130</v>
          </cell>
        </row>
        <row r="25">
          <cell r="AF25" t="str">
            <v>R1</v>
          </cell>
          <cell r="AG25" t="str">
            <v>R2</v>
          </cell>
          <cell r="AH25" t="str">
            <v>R3</v>
          </cell>
          <cell r="AI25" t="str">
            <v>R4</v>
          </cell>
          <cell r="AJ25" t="str">
            <v>R5</v>
          </cell>
          <cell r="AK25" t="str">
            <v>R6</v>
          </cell>
        </row>
        <row r="26"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AE27">
            <v>1</v>
          </cell>
          <cell r="AF27">
            <v>45.454545454545453</v>
          </cell>
          <cell r="AG27">
            <v>45.454545454545453</v>
          </cell>
          <cell r="AH27">
            <v>45.454545454545453</v>
          </cell>
          <cell r="AI27">
            <v>45.454545454545453</v>
          </cell>
          <cell r="AJ27">
            <v>50</v>
          </cell>
          <cell r="AK27">
            <v>50</v>
          </cell>
        </row>
        <row r="28">
          <cell r="AE28">
            <v>2</v>
          </cell>
          <cell r="AF28">
            <v>63.636363636363633</v>
          </cell>
          <cell r="AG28">
            <v>63.636363636363633</v>
          </cell>
          <cell r="AH28">
            <v>72.727272727272734</v>
          </cell>
          <cell r="AI28">
            <v>72.727272727272734</v>
          </cell>
          <cell r="AJ28">
            <v>77.272727272727266</v>
          </cell>
          <cell r="AK28">
            <v>77.272727272727266</v>
          </cell>
        </row>
        <row r="29">
          <cell r="AE29">
            <v>3</v>
          </cell>
          <cell r="AF29">
            <v>77.272727272727266</v>
          </cell>
          <cell r="AG29">
            <v>81.818181818181813</v>
          </cell>
          <cell r="AH29">
            <v>95.454545454545453</v>
          </cell>
          <cell r="AI29">
            <v>86.36363636363636</v>
          </cell>
          <cell r="AJ29">
            <v>95.454545454545453</v>
          </cell>
          <cell r="AK29">
            <v>89.090909090909093</v>
          </cell>
        </row>
        <row r="30">
          <cell r="AE30">
            <v>4</v>
          </cell>
          <cell r="AF30">
            <v>89.090909090909093</v>
          </cell>
          <cell r="AG30">
            <v>92.727272727272734</v>
          </cell>
          <cell r="AH30">
            <v>106.36363636363636</v>
          </cell>
          <cell r="AI30">
            <v>95.454545454545453</v>
          </cell>
          <cell r="AJ30">
            <v>108.18181818181819</v>
          </cell>
          <cell r="AK30">
            <v>101.81818181818181</v>
          </cell>
        </row>
        <row r="31">
          <cell r="AE31">
            <v>5</v>
          </cell>
          <cell r="AF31">
            <v>98.181818181818187</v>
          </cell>
          <cell r="AG31">
            <v>101.81818181818181</v>
          </cell>
          <cell r="AH31">
            <v>116.36363636363636</v>
          </cell>
          <cell r="AI31">
            <v>100.90909090909091</v>
          </cell>
          <cell r="AJ31">
            <v>116.36363636363636</v>
          </cell>
          <cell r="AK31">
            <v>107.27272727272727</v>
          </cell>
        </row>
        <row r="32">
          <cell r="AE32">
            <v>6</v>
          </cell>
          <cell r="AF32">
            <v>105.45454545454545</v>
          </cell>
          <cell r="AG32">
            <v>111.81818181818181</v>
          </cell>
          <cell r="AH32">
            <v>124.54545454545455</v>
          </cell>
          <cell r="AI32">
            <v>108.18181818181819</v>
          </cell>
          <cell r="AJ32">
            <v>123.63636363636364</v>
          </cell>
          <cell r="AK32">
            <v>114.54545454545455</v>
          </cell>
        </row>
        <row r="33">
          <cell r="AE33">
            <v>7</v>
          </cell>
          <cell r="AF33">
            <v>111.81818181818181</v>
          </cell>
          <cell r="AG33">
            <v>122.72727272727273</v>
          </cell>
          <cell r="AH33">
            <v>124.54545454545455</v>
          </cell>
          <cell r="AI33">
            <v>115.45454545454545</v>
          </cell>
          <cell r="AJ33">
            <v>127.27272727272727</v>
          </cell>
          <cell r="AK33">
            <v>118.18181818181819</v>
          </cell>
        </row>
        <row r="34">
          <cell r="AE34">
            <v>8</v>
          </cell>
          <cell r="AF34">
            <v>112.72727272727273</v>
          </cell>
          <cell r="AG34">
            <v>130</v>
          </cell>
          <cell r="AH34">
            <v>124.54545454545455</v>
          </cell>
          <cell r="AI34">
            <v>122.72727272727273</v>
          </cell>
          <cell r="AJ34">
            <v>127.27272727272727</v>
          </cell>
          <cell r="AK34">
            <v>118.18181818181819</v>
          </cell>
        </row>
        <row r="35">
          <cell r="AE35">
            <v>9</v>
          </cell>
          <cell r="AF35">
            <v>112.72727272727273</v>
          </cell>
          <cell r="AG35">
            <v>130</v>
          </cell>
          <cell r="AH35">
            <v>124.54545454545455</v>
          </cell>
          <cell r="AI35">
            <v>129.09090909090909</v>
          </cell>
          <cell r="AJ35">
            <v>127.27272727272727</v>
          </cell>
          <cell r="AK35">
            <v>118.18181818181819</v>
          </cell>
        </row>
        <row r="36">
          <cell r="AE36">
            <v>10</v>
          </cell>
          <cell r="AF36">
            <v>112.72727272727273</v>
          </cell>
          <cell r="AG36">
            <v>130</v>
          </cell>
          <cell r="AH36">
            <v>124.54545454545455</v>
          </cell>
          <cell r="AI36">
            <v>129.09090909090909</v>
          </cell>
          <cell r="AJ36">
            <v>127.27272727272727</v>
          </cell>
          <cell r="AK36">
            <v>118.18181818181819</v>
          </cell>
        </row>
        <row r="37">
          <cell r="AE37">
            <v>11</v>
          </cell>
          <cell r="AF37">
            <v>112.72727272727273</v>
          </cell>
          <cell r="AG37">
            <v>130</v>
          </cell>
          <cell r="AH37">
            <v>124.54545454545455</v>
          </cell>
          <cell r="AI37">
            <v>129.09090909090909</v>
          </cell>
          <cell r="AJ37">
            <v>127.27272727272727</v>
          </cell>
          <cell r="AK37">
            <v>118.18181818181819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M2" t="str">
            <v>Média</v>
          </cell>
        </row>
        <row r="3">
          <cell r="A3">
            <v>0</v>
          </cell>
          <cell r="M3">
            <v>0</v>
          </cell>
          <cell r="N3">
            <v>0</v>
          </cell>
        </row>
        <row r="4">
          <cell r="A4">
            <v>1</v>
          </cell>
          <cell r="M4">
            <v>51.666666666666664</v>
          </cell>
          <cell r="N4">
            <v>2.5819888974716112</v>
          </cell>
        </row>
        <row r="5">
          <cell r="A5">
            <v>2</v>
          </cell>
          <cell r="M5">
            <v>78.333333333333329</v>
          </cell>
          <cell r="N5">
            <v>6.8313005106397329</v>
          </cell>
        </row>
        <row r="6">
          <cell r="A6">
            <v>3</v>
          </cell>
          <cell r="M6">
            <v>97.5</v>
          </cell>
          <cell r="N6">
            <v>8.8034084308295046</v>
          </cell>
        </row>
        <row r="7">
          <cell r="A7">
            <v>4</v>
          </cell>
          <cell r="M7">
            <v>109.5</v>
          </cell>
          <cell r="N7">
            <v>10.232301793829187</v>
          </cell>
        </row>
        <row r="8">
          <cell r="A8">
            <v>5</v>
          </cell>
          <cell r="M8">
            <v>118.66666666666667</v>
          </cell>
          <cell r="N8">
            <v>10.500793620801558</v>
          </cell>
        </row>
        <row r="9">
          <cell r="A9">
            <v>6</v>
          </cell>
          <cell r="M9">
            <v>127.66666666666667</v>
          </cell>
          <cell r="N9">
            <v>9.8319208025017506</v>
          </cell>
        </row>
        <row r="10">
          <cell r="A10">
            <v>7</v>
          </cell>
          <cell r="M10">
            <v>133.66666666666666</v>
          </cell>
          <cell r="N10">
            <v>7.0898989179442236</v>
          </cell>
        </row>
        <row r="11">
          <cell r="A11">
            <v>8</v>
          </cell>
          <cell r="M11">
            <v>136.5</v>
          </cell>
          <cell r="N11">
            <v>6.7156533561523259</v>
          </cell>
        </row>
        <row r="12">
          <cell r="A12">
            <v>9</v>
          </cell>
          <cell r="M12">
            <v>137.66666666666666</v>
          </cell>
          <cell r="N12">
            <v>7.0047602861673051</v>
          </cell>
        </row>
        <row r="13">
          <cell r="A13">
            <v>10</v>
          </cell>
          <cell r="M13">
            <v>137.66666666666666</v>
          </cell>
          <cell r="N13">
            <v>7.0047602861673051</v>
          </cell>
        </row>
        <row r="14">
          <cell r="A14">
            <v>11</v>
          </cell>
          <cell r="M14">
            <v>137.66666666666666</v>
          </cell>
          <cell r="N14">
            <v>7.0047602861673051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ÇÃO BM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M15" sqref="M15"/>
    </sheetView>
  </sheetViews>
  <sheetFormatPr defaultRowHeight="14.4" x14ac:dyDescent="0.3"/>
  <sheetData>
    <row r="1" spans="1:9" s="20" customFormat="1" x14ac:dyDescent="0.3">
      <c r="A1" s="19" t="s">
        <v>33</v>
      </c>
      <c r="B1" s="19"/>
      <c r="C1" s="19"/>
      <c r="D1" s="19"/>
      <c r="E1" s="9"/>
      <c r="F1" s="9"/>
      <c r="G1" s="9"/>
    </row>
    <row r="2" spans="1:9" s="20" customFormat="1" x14ac:dyDescent="0.3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" t="s">
        <v>7</v>
      </c>
      <c r="I2" s="3" t="s">
        <v>93</v>
      </c>
    </row>
    <row r="3" spans="1:9" x14ac:dyDescent="0.3">
      <c r="A3" s="8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2">
        <v>0</v>
      </c>
      <c r="H3" s="2">
        <f>AVERAGE(B3,C3,D3,E3,F3,G3)</f>
        <v>0</v>
      </c>
      <c r="I3" s="1">
        <f>_xlfn.STDEV.S(B3,C3,D3,E3,F3,G3)</f>
        <v>0</v>
      </c>
    </row>
    <row r="4" spans="1:9" x14ac:dyDescent="0.3">
      <c r="A4" s="8">
        <v>1</v>
      </c>
      <c r="B4" s="3">
        <v>50</v>
      </c>
      <c r="C4" s="3">
        <v>50</v>
      </c>
      <c r="D4" s="3">
        <v>50</v>
      </c>
      <c r="E4" s="3">
        <v>50</v>
      </c>
      <c r="F4" s="3">
        <v>55</v>
      </c>
      <c r="G4" s="2">
        <v>55</v>
      </c>
      <c r="H4" s="2">
        <f>AVERAGE(B4,C4,D4,E4,F4,G4)</f>
        <v>51.666666666666664</v>
      </c>
      <c r="I4" s="1">
        <f>_xlfn.STDEV.S(B4,C4,D4,E4,F4,G4)</f>
        <v>2.5819888974716112</v>
      </c>
    </row>
    <row r="5" spans="1:9" x14ac:dyDescent="0.3">
      <c r="A5" s="8">
        <v>2</v>
      </c>
      <c r="B5" s="3">
        <v>70</v>
      </c>
      <c r="C5" s="3">
        <v>70</v>
      </c>
      <c r="D5" s="3">
        <v>80</v>
      </c>
      <c r="E5" s="3">
        <v>80</v>
      </c>
      <c r="F5" s="3">
        <v>85</v>
      </c>
      <c r="G5" s="2">
        <v>85</v>
      </c>
      <c r="H5" s="2">
        <f>AVERAGE(B5,C5,D5,E5,F5,G5)</f>
        <v>78.333333333333329</v>
      </c>
      <c r="I5" s="1">
        <f>_xlfn.STDEV.S(B5,C5,D5,E5,F5,G5)</f>
        <v>6.8313005106397329</v>
      </c>
    </row>
    <row r="6" spans="1:9" x14ac:dyDescent="0.3">
      <c r="A6" s="8">
        <v>3</v>
      </c>
      <c r="B6" s="3">
        <v>85</v>
      </c>
      <c r="C6" s="3">
        <v>90</v>
      </c>
      <c r="D6" s="3">
        <v>105</v>
      </c>
      <c r="E6" s="3">
        <v>95</v>
      </c>
      <c r="F6" s="3">
        <v>105</v>
      </c>
      <c r="G6" s="2">
        <v>98</v>
      </c>
      <c r="H6" s="2">
        <f>AVERAGE(B6,C6,D6,E6,F6,G6)</f>
        <v>96.333333333333329</v>
      </c>
      <c r="I6" s="1">
        <f>_xlfn.STDEV.S(B6,C6,D6,E6,F6,G6)</f>
        <v>8.0415587212098778</v>
      </c>
    </row>
    <row r="7" spans="1:9" x14ac:dyDescent="0.3">
      <c r="A7" s="8">
        <v>4</v>
      </c>
      <c r="B7" s="3">
        <v>95</v>
      </c>
      <c r="C7" s="3">
        <v>102</v>
      </c>
      <c r="D7" s="3">
        <v>117</v>
      </c>
      <c r="E7" s="3">
        <v>105</v>
      </c>
      <c r="F7" s="3">
        <v>119</v>
      </c>
      <c r="G7" s="2">
        <v>112</v>
      </c>
      <c r="H7" s="2">
        <f>AVERAGE(B7,C7,D7,E7,F7,G7)</f>
        <v>108.33333333333333</v>
      </c>
      <c r="I7" s="1">
        <f>_xlfn.STDEV.S(B7,C7,D7,E7,F7,G7)</f>
        <v>9.2879850703296611</v>
      </c>
    </row>
    <row r="8" spans="1:9" x14ac:dyDescent="0.3">
      <c r="A8" s="8">
        <v>5</v>
      </c>
      <c r="B8" s="3">
        <v>105</v>
      </c>
      <c r="C8" s="3">
        <v>112</v>
      </c>
      <c r="D8" s="3">
        <v>128</v>
      </c>
      <c r="E8" s="3">
        <v>111</v>
      </c>
      <c r="F8" s="3">
        <v>128</v>
      </c>
      <c r="G8" s="2">
        <v>118</v>
      </c>
      <c r="H8" s="2">
        <f>AVERAGE(B8,C8,D8,E8,F8,G8)</f>
        <v>117</v>
      </c>
      <c r="I8" s="1">
        <f>_xlfn.STDEV.S(B8,C8,D8,E8,F8,G8)</f>
        <v>9.4657276529593855</v>
      </c>
    </row>
    <row r="9" spans="1:9" x14ac:dyDescent="0.3">
      <c r="A9" s="8">
        <v>6</v>
      </c>
      <c r="B9" s="3">
        <v>115</v>
      </c>
      <c r="C9" s="3">
        <v>123</v>
      </c>
      <c r="D9" s="3">
        <v>137</v>
      </c>
      <c r="E9" s="3">
        <v>119</v>
      </c>
      <c r="F9" s="3">
        <v>136</v>
      </c>
      <c r="G9" s="2">
        <v>126</v>
      </c>
      <c r="H9" s="2">
        <f>AVERAGE(B9,C9,D9,E9,F9,G9)</f>
        <v>126</v>
      </c>
      <c r="I9" s="1">
        <f>_xlfn.STDEV.S(B9,C9,D9,E9,F9,G9)</f>
        <v>8.9442719099991592</v>
      </c>
    </row>
    <row r="10" spans="1:9" x14ac:dyDescent="0.3">
      <c r="A10" s="8">
        <v>7</v>
      </c>
      <c r="B10" s="3">
        <v>123</v>
      </c>
      <c r="C10" s="3">
        <v>135</v>
      </c>
      <c r="D10" s="3">
        <v>137</v>
      </c>
      <c r="E10" s="3">
        <v>127</v>
      </c>
      <c r="F10" s="3">
        <v>140</v>
      </c>
      <c r="G10" s="2">
        <v>130</v>
      </c>
      <c r="H10" s="2">
        <f>AVERAGE(B10,C10,D10,E10,F10,G10)</f>
        <v>132</v>
      </c>
      <c r="I10" s="1">
        <f>_xlfn.STDEV.S(B10,C10,D10,E10,F10,G10)</f>
        <v>6.4498061986388402</v>
      </c>
    </row>
    <row r="11" spans="1:9" x14ac:dyDescent="0.3">
      <c r="A11" s="8">
        <v>8</v>
      </c>
      <c r="B11" s="3">
        <v>124</v>
      </c>
      <c r="C11" s="3">
        <v>143</v>
      </c>
      <c r="D11" s="3">
        <v>137</v>
      </c>
      <c r="E11" s="3">
        <v>135</v>
      </c>
      <c r="F11" s="3">
        <v>140</v>
      </c>
      <c r="G11" s="2">
        <v>130</v>
      </c>
      <c r="H11" s="2">
        <f>AVERAGE(B11,C11,D11,E11,F11,G11)</f>
        <v>134.83333333333334</v>
      </c>
      <c r="I11" s="1">
        <f>_xlfn.STDEV.S(B11,C11,D11,E11,F11,G11)</f>
        <v>6.9113433330045666</v>
      </c>
    </row>
    <row r="12" spans="1:9" x14ac:dyDescent="0.3">
      <c r="A12" s="8">
        <v>9</v>
      </c>
      <c r="B12" s="3">
        <v>124</v>
      </c>
      <c r="C12" s="3">
        <v>143</v>
      </c>
      <c r="D12" s="3">
        <v>137</v>
      </c>
      <c r="E12" s="3">
        <v>142</v>
      </c>
      <c r="F12" s="3">
        <v>140</v>
      </c>
      <c r="G12" s="2">
        <v>130</v>
      </c>
      <c r="H12" s="2">
        <f>AVERAGE(B12,C12,D12,E12,F12,G12)</f>
        <v>136</v>
      </c>
      <c r="I12" s="1">
        <f>_xlfn.STDEV.S(B12,C12,D12,E12,F12,G12)</f>
        <v>7.5099933422074345</v>
      </c>
    </row>
    <row r="13" spans="1:9" x14ac:dyDescent="0.3">
      <c r="A13" s="8">
        <v>10</v>
      </c>
      <c r="B13" s="3">
        <v>124</v>
      </c>
      <c r="C13" s="3">
        <v>143</v>
      </c>
      <c r="D13" s="3">
        <v>137</v>
      </c>
      <c r="E13" s="3">
        <v>142</v>
      </c>
      <c r="F13" s="3">
        <v>140</v>
      </c>
      <c r="G13" s="2">
        <v>130</v>
      </c>
      <c r="H13" s="2">
        <f>AVERAGE(B13,C13,D13,E13,F13,G13)</f>
        <v>136</v>
      </c>
      <c r="I13" s="1">
        <f>_xlfn.STDEV.S(B13,C13,D13,E13,F13,G13)</f>
        <v>7.5099933422074345</v>
      </c>
    </row>
    <row r="14" spans="1:9" x14ac:dyDescent="0.3">
      <c r="A14" s="9">
        <v>11</v>
      </c>
      <c r="B14" s="9">
        <v>124</v>
      </c>
      <c r="C14" s="3">
        <v>143</v>
      </c>
      <c r="D14" s="3">
        <v>137</v>
      </c>
      <c r="E14" s="3">
        <v>142</v>
      </c>
      <c r="F14" s="3">
        <v>140</v>
      </c>
      <c r="G14" s="10">
        <v>130</v>
      </c>
      <c r="H14" s="5">
        <f>AVERAGE(B14,C14,D14,E14,F14,G14)</f>
        <v>136</v>
      </c>
      <c r="I14" s="1">
        <f>_xlfn.STDEV.S(B14,C14,D14,E14,F14,G14)</f>
        <v>7.5099933422074345</v>
      </c>
    </row>
    <row r="16" spans="1:9" x14ac:dyDescent="0.3">
      <c r="A16" s="3"/>
      <c r="B16" s="3"/>
      <c r="C16" s="3"/>
      <c r="D16" s="3"/>
      <c r="E16" s="3"/>
      <c r="F16" s="3"/>
      <c r="G16" s="3"/>
      <c r="H16" s="2"/>
      <c r="I16" s="3"/>
    </row>
    <row r="17" spans="1:9" x14ac:dyDescent="0.3">
      <c r="A17" s="8"/>
      <c r="B17" s="3"/>
      <c r="C17" s="3"/>
      <c r="D17" s="3"/>
      <c r="E17" s="3"/>
      <c r="F17" s="3"/>
      <c r="G17" s="2"/>
      <c r="H17" s="2"/>
      <c r="I17" s="1"/>
    </row>
    <row r="18" spans="1:9" x14ac:dyDescent="0.3">
      <c r="A18" s="8"/>
      <c r="B18" s="3"/>
      <c r="C18" s="3"/>
      <c r="D18" s="3"/>
      <c r="E18" s="3"/>
      <c r="F18" s="3"/>
      <c r="G18" s="2"/>
      <c r="H18" s="2"/>
      <c r="I18" s="1"/>
    </row>
    <row r="19" spans="1:9" x14ac:dyDescent="0.3">
      <c r="A19" s="8"/>
      <c r="B19" s="3"/>
      <c r="C19" s="3"/>
      <c r="D19" s="3"/>
      <c r="E19" s="3"/>
      <c r="F19" s="3"/>
      <c r="G19" s="2"/>
      <c r="H19" s="2"/>
      <c r="I19" s="1"/>
    </row>
    <row r="20" spans="1:9" x14ac:dyDescent="0.3">
      <c r="A20" s="8"/>
      <c r="B20" s="3"/>
      <c r="C20" s="3"/>
      <c r="D20" s="3"/>
      <c r="E20" s="3"/>
      <c r="F20" s="3"/>
      <c r="G20" s="2"/>
      <c r="H20" s="2"/>
      <c r="I20" s="1"/>
    </row>
    <row r="21" spans="1:9" x14ac:dyDescent="0.3">
      <c r="A21" s="8"/>
      <c r="B21" s="3"/>
      <c r="C21" s="3"/>
      <c r="D21" s="3"/>
      <c r="E21" s="3"/>
      <c r="F21" s="3"/>
      <c r="G21" s="2"/>
      <c r="H21" s="2"/>
      <c r="I21" s="1"/>
    </row>
    <row r="22" spans="1:9" x14ac:dyDescent="0.3">
      <c r="A22" s="8"/>
      <c r="B22" s="3"/>
      <c r="C22" s="3"/>
      <c r="D22" s="3"/>
      <c r="E22" s="3"/>
      <c r="F22" s="3"/>
      <c r="G22" s="2"/>
      <c r="H22" s="2"/>
      <c r="I22" s="1"/>
    </row>
    <row r="23" spans="1:9" x14ac:dyDescent="0.3">
      <c r="A23" s="8"/>
      <c r="B23" s="3"/>
      <c r="C23" s="3"/>
      <c r="D23" s="3"/>
      <c r="E23" s="3"/>
      <c r="F23" s="3"/>
      <c r="G23" s="2"/>
      <c r="H23" s="2"/>
      <c r="I23" s="1"/>
    </row>
    <row r="24" spans="1:9" x14ac:dyDescent="0.3">
      <c r="A24" s="8"/>
      <c r="B24" s="3"/>
      <c r="C24" s="3"/>
      <c r="D24" s="3"/>
      <c r="E24" s="3"/>
      <c r="F24" s="3"/>
      <c r="G24" s="2"/>
      <c r="H24" s="2"/>
      <c r="I24" s="1"/>
    </row>
    <row r="25" spans="1:9" x14ac:dyDescent="0.3">
      <c r="A25" s="8"/>
      <c r="B25" s="3"/>
      <c r="C25" s="3"/>
      <c r="D25" s="3"/>
      <c r="E25" s="3"/>
      <c r="F25" s="3"/>
      <c r="G25" s="2"/>
      <c r="H25" s="2"/>
      <c r="I25" s="1"/>
    </row>
    <row r="26" spans="1:9" x14ac:dyDescent="0.3">
      <c r="A26" s="8"/>
      <c r="B26" s="3"/>
      <c r="C26" s="3"/>
      <c r="D26" s="3"/>
      <c r="E26" s="3"/>
      <c r="F26" s="3"/>
      <c r="G26" s="2"/>
      <c r="H26" s="2"/>
      <c r="I26" s="1"/>
    </row>
    <row r="27" spans="1:9" x14ac:dyDescent="0.3">
      <c r="A27" s="8"/>
      <c r="B27" s="3"/>
      <c r="C27" s="3"/>
      <c r="D27" s="3"/>
      <c r="E27" s="3"/>
      <c r="F27" s="3"/>
      <c r="G27" s="2"/>
      <c r="H27" s="2"/>
      <c r="I27" s="1"/>
    </row>
    <row r="28" spans="1:9" x14ac:dyDescent="0.3">
      <c r="A28" s="9"/>
      <c r="B28" s="9"/>
      <c r="C28" s="3"/>
      <c r="D28" s="3"/>
      <c r="E28" s="3"/>
      <c r="F28" s="3"/>
      <c r="G28" s="10"/>
      <c r="H28" s="5"/>
      <c r="I28" s="1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H21" sqref="H21"/>
    </sheetView>
  </sheetViews>
  <sheetFormatPr defaultRowHeight="14.4" x14ac:dyDescent="0.3"/>
  <sheetData>
    <row r="1" spans="1:18" x14ac:dyDescent="0.3">
      <c r="A1" s="18" t="s">
        <v>94</v>
      </c>
      <c r="B1" s="18"/>
      <c r="C1" s="18"/>
      <c r="D1" s="18"/>
      <c r="E1" s="18"/>
      <c r="F1" s="1"/>
      <c r="G1" s="1"/>
      <c r="J1" s="24"/>
      <c r="K1" s="24"/>
      <c r="L1" s="24"/>
      <c r="M1" s="24"/>
      <c r="N1" s="24"/>
      <c r="O1" s="24"/>
      <c r="P1" s="24"/>
      <c r="Q1" s="24"/>
      <c r="R1" s="24"/>
    </row>
    <row r="2" spans="1:18" x14ac:dyDescent="0.3">
      <c r="A2" s="2" t="s">
        <v>6</v>
      </c>
      <c r="B2" s="2" t="s">
        <v>28</v>
      </c>
      <c r="C2" s="3" t="s">
        <v>29</v>
      </c>
      <c r="D2" s="3" t="s">
        <v>30</v>
      </c>
      <c r="E2" s="2" t="s">
        <v>34</v>
      </c>
      <c r="F2" s="2" t="s">
        <v>31</v>
      </c>
      <c r="G2" s="2" t="s">
        <v>32</v>
      </c>
      <c r="H2" s="2" t="s">
        <v>7</v>
      </c>
      <c r="I2" s="2" t="s">
        <v>93</v>
      </c>
      <c r="J2" s="24"/>
      <c r="K2" s="2"/>
      <c r="L2" s="2"/>
      <c r="M2" s="3"/>
      <c r="N2" s="3"/>
      <c r="O2" s="2"/>
      <c r="P2" s="2"/>
      <c r="Q2" s="2"/>
      <c r="R2" s="24"/>
    </row>
    <row r="3" spans="1:18" x14ac:dyDescent="0.3">
      <c r="A3" s="4">
        <v>0</v>
      </c>
      <c r="B3" s="2">
        <f>0*10/11</f>
        <v>0</v>
      </c>
      <c r="C3" s="3">
        <f>0*10/11</f>
        <v>0</v>
      </c>
      <c r="D3" s="3">
        <f>0*10/11</f>
        <v>0</v>
      </c>
      <c r="E3" s="2">
        <f>0*10/11</f>
        <v>0</v>
      </c>
      <c r="F3" s="2">
        <f>0*10/11</f>
        <v>0</v>
      </c>
      <c r="G3" s="2">
        <f>0*10/11</f>
        <v>0</v>
      </c>
      <c r="H3" s="2">
        <f>AVERAGE(B3:G3)</f>
        <v>0</v>
      </c>
      <c r="I3" s="2">
        <f>_xlfn.STDEV.P(B3:H3)</f>
        <v>0</v>
      </c>
      <c r="J3" s="24"/>
      <c r="K3" s="4"/>
      <c r="L3" s="2"/>
      <c r="M3" s="3"/>
      <c r="N3" s="3"/>
      <c r="O3" s="2"/>
      <c r="P3" s="2"/>
      <c r="Q3" s="2"/>
      <c r="R3" s="24"/>
    </row>
    <row r="4" spans="1:18" x14ac:dyDescent="0.3">
      <c r="A4" s="4">
        <v>1</v>
      </c>
      <c r="B4" s="2">
        <f>50*10/11</f>
        <v>45.454545454545453</v>
      </c>
      <c r="C4" s="3">
        <f>50*10/11</f>
        <v>45.454545454545453</v>
      </c>
      <c r="D4" s="3">
        <f>50*10/11</f>
        <v>45.454545454545453</v>
      </c>
      <c r="E4" s="2">
        <f>50*10/11</f>
        <v>45.454545454545453</v>
      </c>
      <c r="F4" s="2">
        <f>55*10/11</f>
        <v>50</v>
      </c>
      <c r="G4" s="2">
        <f>55*10/11</f>
        <v>50</v>
      </c>
      <c r="H4">
        <f>AVERAGE(B4:G4)</f>
        <v>46.969696969696969</v>
      </c>
      <c r="I4">
        <f>_xlfn.STDEV.P(B4:G4)</f>
        <v>2.1427478217774172</v>
      </c>
      <c r="J4" s="24"/>
      <c r="K4" s="4"/>
      <c r="L4" s="2"/>
      <c r="M4" s="3"/>
      <c r="N4" s="3"/>
      <c r="O4" s="2"/>
      <c r="P4" s="2"/>
      <c r="Q4" s="2"/>
      <c r="R4" s="24"/>
    </row>
    <row r="5" spans="1:18" x14ac:dyDescent="0.3">
      <c r="A5" s="4">
        <v>2</v>
      </c>
      <c r="B5" s="2">
        <f>70*10/11</f>
        <v>63.636363636363633</v>
      </c>
      <c r="C5" s="3">
        <f>70*10/11</f>
        <v>63.636363636363633</v>
      </c>
      <c r="D5" s="3">
        <f>80*10/11</f>
        <v>72.727272727272734</v>
      </c>
      <c r="E5" s="2">
        <f>80*10/11</f>
        <v>72.727272727272734</v>
      </c>
      <c r="F5" s="2">
        <f>85*10/11</f>
        <v>77.272727272727266</v>
      </c>
      <c r="G5" s="2">
        <f>85*10/11</f>
        <v>77.272727272727266</v>
      </c>
      <c r="H5">
        <f>AVERAGE(B5:G5)</f>
        <v>71.212121212121204</v>
      </c>
      <c r="I5">
        <f>_xlfn.STDEV.P(B5:G5)</f>
        <v>5.6691778587483963</v>
      </c>
      <c r="J5" s="24"/>
      <c r="K5" s="4"/>
      <c r="L5" s="2"/>
      <c r="M5" s="3"/>
      <c r="N5" s="3"/>
      <c r="O5" s="2"/>
      <c r="P5" s="2"/>
      <c r="Q5" s="2"/>
      <c r="R5" s="24"/>
    </row>
    <row r="6" spans="1:18" x14ac:dyDescent="0.3">
      <c r="A6" s="4">
        <v>3</v>
      </c>
      <c r="B6" s="2">
        <f>85*10/11</f>
        <v>77.272727272727266</v>
      </c>
      <c r="C6" s="3">
        <f>90*10/11</f>
        <v>81.818181818181813</v>
      </c>
      <c r="D6" s="3">
        <f>105*10/11</f>
        <v>95.454545454545453</v>
      </c>
      <c r="E6" s="2">
        <f>95*10/11</f>
        <v>86.36363636363636</v>
      </c>
      <c r="F6" s="2">
        <f>105*10/11</f>
        <v>95.454545454545453</v>
      </c>
      <c r="G6" s="2">
        <f>98*10/11</f>
        <v>89.090909090909093</v>
      </c>
      <c r="H6">
        <f>AVERAGE(B6:G6)</f>
        <v>87.575757575757564</v>
      </c>
      <c r="I6">
        <f>_xlfn.STDEV.P(B6:G6)</f>
        <v>6.6735501653167413</v>
      </c>
      <c r="J6" s="24"/>
      <c r="K6" s="4"/>
      <c r="L6" s="2"/>
      <c r="M6" s="3"/>
      <c r="N6" s="3"/>
      <c r="O6" s="2"/>
      <c r="P6" s="2"/>
      <c r="Q6" s="2"/>
      <c r="R6" s="24"/>
    </row>
    <row r="7" spans="1:18" x14ac:dyDescent="0.3">
      <c r="A7" s="4">
        <v>4</v>
      </c>
      <c r="B7" s="2">
        <f>98*10/11</f>
        <v>89.090909090909093</v>
      </c>
      <c r="C7" s="3">
        <f>102*10/11</f>
        <v>92.727272727272734</v>
      </c>
      <c r="D7" s="3">
        <f>117*10/11</f>
        <v>106.36363636363636</v>
      </c>
      <c r="E7" s="2">
        <f>105*10/11</f>
        <v>95.454545454545453</v>
      </c>
      <c r="F7" s="2">
        <f>119*10/11</f>
        <v>108.18181818181819</v>
      </c>
      <c r="G7" s="2">
        <f>112*10/11</f>
        <v>101.81818181818181</v>
      </c>
      <c r="H7">
        <f>AVERAGE(B7:G7)</f>
        <v>98.939393939393938</v>
      </c>
      <c r="I7">
        <f>_xlfn.STDEV.P(B7:G7)</f>
        <v>7.0303683382546529</v>
      </c>
      <c r="J7" s="24"/>
      <c r="K7" s="4"/>
      <c r="L7" s="2"/>
      <c r="M7" s="3"/>
      <c r="N7" s="3"/>
      <c r="O7" s="2"/>
      <c r="P7" s="2"/>
      <c r="Q7" s="2"/>
      <c r="R7" s="24"/>
    </row>
    <row r="8" spans="1:18" x14ac:dyDescent="0.3">
      <c r="A8" s="4">
        <v>5</v>
      </c>
      <c r="B8" s="2">
        <f>108*10/11</f>
        <v>98.181818181818187</v>
      </c>
      <c r="C8" s="3">
        <f>112*10/11</f>
        <v>101.81818181818181</v>
      </c>
      <c r="D8" s="3">
        <f>128*10/11</f>
        <v>116.36363636363636</v>
      </c>
      <c r="E8" s="2">
        <f>111*10/11</f>
        <v>100.90909090909091</v>
      </c>
      <c r="F8" s="2">
        <f>128*10/11</f>
        <v>116.36363636363636</v>
      </c>
      <c r="G8" s="2">
        <f>118*10/11</f>
        <v>107.27272727272727</v>
      </c>
      <c r="H8">
        <f>AVERAGE(B8:G8)</f>
        <v>106.81818181818181</v>
      </c>
      <c r="I8">
        <f>_xlfn.STDEV.P(B8:H8)</f>
        <v>6.7288520434695496</v>
      </c>
      <c r="J8" s="24"/>
      <c r="K8" s="4"/>
      <c r="L8" s="2"/>
      <c r="M8" s="3"/>
      <c r="N8" s="3"/>
      <c r="O8" s="2"/>
      <c r="P8" s="2"/>
      <c r="Q8" s="2"/>
      <c r="R8" s="24"/>
    </row>
    <row r="9" spans="1:18" x14ac:dyDescent="0.3">
      <c r="A9" s="4">
        <v>6</v>
      </c>
      <c r="B9" s="2">
        <f>116*10/11</f>
        <v>105.45454545454545</v>
      </c>
      <c r="C9" s="3">
        <f>123*10/11</f>
        <v>111.81818181818181</v>
      </c>
      <c r="D9" s="3">
        <f>137*10/11</f>
        <v>124.54545454545455</v>
      </c>
      <c r="E9" s="2">
        <f>119*10/11</f>
        <v>108.18181818181819</v>
      </c>
      <c r="F9" s="2">
        <f>136*10/11</f>
        <v>123.63636363636364</v>
      </c>
      <c r="G9" s="2">
        <f>126*10/11</f>
        <v>114.54545454545455</v>
      </c>
      <c r="H9">
        <f>AVERAGE(B9:G9)</f>
        <v>114.69696969696969</v>
      </c>
      <c r="I9">
        <f>_xlfn.STDEV.P(B9:G9)</f>
        <v>7.2236348127637688</v>
      </c>
      <c r="J9" s="24"/>
      <c r="K9" s="4"/>
      <c r="L9" s="2"/>
      <c r="M9" s="3"/>
      <c r="N9" s="3"/>
      <c r="O9" s="2"/>
      <c r="P9" s="2"/>
      <c r="Q9" s="2"/>
      <c r="R9" s="24"/>
    </row>
    <row r="10" spans="1:18" x14ac:dyDescent="0.3">
      <c r="A10" s="4">
        <v>7</v>
      </c>
      <c r="B10" s="2">
        <f>123*10/11</f>
        <v>111.81818181818181</v>
      </c>
      <c r="C10" s="3">
        <f>135*10/11</f>
        <v>122.72727272727273</v>
      </c>
      <c r="D10" s="3">
        <f>137*10/11</f>
        <v>124.54545454545455</v>
      </c>
      <c r="E10" s="2">
        <f>127*10/11</f>
        <v>115.45454545454545</v>
      </c>
      <c r="F10" s="2">
        <f>140*10/11</f>
        <v>127.27272727272727</v>
      </c>
      <c r="G10" s="2">
        <f>130*10/11</f>
        <v>118.18181818181819</v>
      </c>
      <c r="H10">
        <f>AVERAGE(B10:G10)</f>
        <v>120</v>
      </c>
      <c r="I10">
        <f>_xlfn.STDEV.P(B10:H10)</f>
        <v>4.9555283190490691</v>
      </c>
      <c r="J10" s="24"/>
      <c r="K10" s="4"/>
      <c r="L10" s="2"/>
      <c r="M10" s="3"/>
      <c r="N10" s="3"/>
      <c r="O10" s="2"/>
      <c r="P10" s="2"/>
      <c r="Q10" s="2"/>
      <c r="R10" s="24"/>
    </row>
    <row r="11" spans="1:18" x14ac:dyDescent="0.3">
      <c r="A11" s="4">
        <v>8</v>
      </c>
      <c r="B11" s="2">
        <f>124*10/11</f>
        <v>112.72727272727273</v>
      </c>
      <c r="C11" s="3">
        <f>143*10/11</f>
        <v>130</v>
      </c>
      <c r="D11" s="3">
        <f>137*10/11</f>
        <v>124.54545454545455</v>
      </c>
      <c r="E11" s="2">
        <f>135*10/11</f>
        <v>122.72727272727273</v>
      </c>
      <c r="F11" s="2">
        <f>140*10/11</f>
        <v>127.27272727272727</v>
      </c>
      <c r="G11" s="2">
        <f>130*10/11</f>
        <v>118.18181818181819</v>
      </c>
      <c r="H11">
        <f>AVERAGE(B11:G11)</f>
        <v>122.57575757575758</v>
      </c>
      <c r="I11">
        <f>_xlfn.STDEV.P(B11:H11)</f>
        <v>5.3101374761621569</v>
      </c>
      <c r="J11" s="24"/>
      <c r="K11" s="4"/>
      <c r="L11" s="2"/>
      <c r="M11" s="3"/>
      <c r="N11" s="3"/>
      <c r="O11" s="2"/>
      <c r="P11" s="2"/>
      <c r="Q11" s="2"/>
      <c r="R11" s="24"/>
    </row>
    <row r="12" spans="1:18" x14ac:dyDescent="0.3">
      <c r="A12" s="4">
        <v>9</v>
      </c>
      <c r="B12" s="2">
        <f>124*10/11</f>
        <v>112.72727272727273</v>
      </c>
      <c r="C12" s="3">
        <f>143*10/11</f>
        <v>130</v>
      </c>
      <c r="D12" s="3">
        <f>137*10/11</f>
        <v>124.54545454545455</v>
      </c>
      <c r="E12" s="2">
        <f>142*10/11</f>
        <v>129.09090909090909</v>
      </c>
      <c r="F12" s="2">
        <f>140*10/11</f>
        <v>127.27272727272727</v>
      </c>
      <c r="G12" s="2">
        <f>130*10/11</f>
        <v>118.18181818181819</v>
      </c>
      <c r="H12">
        <f>AVERAGE(B12:G12)</f>
        <v>123.63636363636363</v>
      </c>
      <c r="I12">
        <f>STDEVPA(B12:G12)</f>
        <v>6.2324132730918551</v>
      </c>
      <c r="J12" s="24"/>
      <c r="K12" s="4"/>
      <c r="L12" s="2"/>
      <c r="M12" s="3"/>
      <c r="N12" s="3"/>
      <c r="O12" s="2"/>
      <c r="P12" s="2"/>
      <c r="Q12" s="2"/>
      <c r="R12" s="24"/>
    </row>
    <row r="13" spans="1:18" x14ac:dyDescent="0.3">
      <c r="A13" s="4">
        <v>10</v>
      </c>
      <c r="B13" s="2">
        <f>124*10/11</f>
        <v>112.72727272727273</v>
      </c>
      <c r="C13" s="3">
        <f>143*10/11</f>
        <v>130</v>
      </c>
      <c r="D13" s="3">
        <f>137*10/11</f>
        <v>124.54545454545455</v>
      </c>
      <c r="E13" s="2">
        <f>142*10/11</f>
        <v>129.09090909090909</v>
      </c>
      <c r="F13" s="2">
        <f>140*10/11</f>
        <v>127.27272727272727</v>
      </c>
      <c r="G13" s="2">
        <f>130*10/11</f>
        <v>118.18181818181819</v>
      </c>
      <c r="H13">
        <f>AVERAGE(B13:G13)</f>
        <v>123.63636363636363</v>
      </c>
      <c r="I13">
        <f>_xlfn.STDEV.P(B13:G13)</f>
        <v>6.2324132730918551</v>
      </c>
      <c r="J13" s="24"/>
      <c r="K13" s="4"/>
      <c r="L13" s="2"/>
      <c r="M13" s="3"/>
      <c r="N13" s="3"/>
      <c r="O13" s="2"/>
      <c r="P13" s="2"/>
      <c r="Q13" s="2"/>
      <c r="R13" s="24"/>
    </row>
    <row r="14" spans="1:18" x14ac:dyDescent="0.3">
      <c r="A14" s="5">
        <v>11</v>
      </c>
      <c r="B14" s="6">
        <f>124*10/11</f>
        <v>112.72727272727273</v>
      </c>
      <c r="C14" s="1">
        <f>143*10/11</f>
        <v>130</v>
      </c>
      <c r="D14" s="1">
        <f>137*10/11</f>
        <v>124.54545454545455</v>
      </c>
      <c r="E14" s="6">
        <f>142*10/11</f>
        <v>129.09090909090909</v>
      </c>
      <c r="F14" s="6">
        <f>140*10/11</f>
        <v>127.27272727272727</v>
      </c>
      <c r="G14" s="6">
        <f>130*10/11</f>
        <v>118.18181818181819</v>
      </c>
      <c r="H14">
        <f>AVERAGE(B14:G14)</f>
        <v>123.63636363636363</v>
      </c>
      <c r="I14">
        <f>_xlfn.STDEV.P(B14:G14)</f>
        <v>6.2324132730918551</v>
      </c>
      <c r="J14" s="24"/>
      <c r="K14" s="5"/>
      <c r="L14" s="6"/>
      <c r="M14" s="1"/>
      <c r="N14" s="1"/>
      <c r="O14" s="6"/>
      <c r="P14" s="6"/>
      <c r="Q14" s="6"/>
      <c r="R14" s="24"/>
    </row>
    <row r="15" spans="1:18" x14ac:dyDescent="0.3">
      <c r="J15" s="24"/>
      <c r="K15" s="24"/>
      <c r="L15" s="24"/>
      <c r="M15" s="24"/>
      <c r="N15" s="24"/>
      <c r="O15" s="24"/>
      <c r="P15" s="24"/>
      <c r="Q15" s="24"/>
      <c r="R15" s="24"/>
    </row>
    <row r="16" spans="1:18" x14ac:dyDescent="0.3">
      <c r="J16" s="24"/>
      <c r="K16" s="24"/>
      <c r="L16" s="24"/>
      <c r="M16" s="24"/>
      <c r="N16" s="24"/>
      <c r="O16" s="24"/>
      <c r="P16" s="24"/>
      <c r="Q16" s="24"/>
      <c r="R16" s="24"/>
    </row>
    <row r="17" spans="10:18" x14ac:dyDescent="0.3">
      <c r="J17" s="24"/>
      <c r="K17" s="24"/>
      <c r="L17" s="24"/>
      <c r="M17" s="24"/>
      <c r="N17" s="24"/>
      <c r="O17" s="24"/>
      <c r="P17" s="24"/>
      <c r="Q17" s="24"/>
      <c r="R17" s="24"/>
    </row>
    <row r="18" spans="10:18" x14ac:dyDescent="0.3">
      <c r="J18" s="24"/>
      <c r="K18" s="24"/>
      <c r="L18" s="24"/>
      <c r="M18" s="24"/>
      <c r="N18" s="24"/>
      <c r="O18" s="24"/>
      <c r="P18" s="24"/>
      <c r="Q18" s="24"/>
      <c r="R18" s="24"/>
    </row>
  </sheetData>
  <mergeCells count="1">
    <mergeCell ref="A1:E1"/>
  </mergeCells>
  <pageMargins left="0.511811024" right="0.511811024" top="0.78740157499999996" bottom="0.78740157499999996" header="0.31496062000000002" footer="0.31496062000000002"/>
  <ignoredErrors>
    <ignoredError sqref="E8 E6 I8:I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A7" sqref="A7:XFD7"/>
    </sheetView>
  </sheetViews>
  <sheetFormatPr defaultRowHeight="14.4" x14ac:dyDescent="0.3"/>
  <cols>
    <col min="1" max="1" width="12.5546875" style="7" customWidth="1"/>
    <col min="2" max="2" width="15.44140625" style="7" customWidth="1"/>
    <col min="3" max="16384" width="8.88671875" style="7"/>
  </cols>
  <sheetData>
    <row r="1" spans="1:21" s="21" customFormat="1" x14ac:dyDescent="0.3">
      <c r="A1" s="21" t="s">
        <v>21</v>
      </c>
      <c r="B1" s="21" t="s">
        <v>9</v>
      </c>
      <c r="C1" s="21" t="s">
        <v>28</v>
      </c>
      <c r="D1" s="21" t="s">
        <v>29</v>
      </c>
      <c r="E1" s="21" t="s">
        <v>30</v>
      </c>
      <c r="F1" s="21" t="s">
        <v>34</v>
      </c>
      <c r="G1" s="21" t="s">
        <v>31</v>
      </c>
      <c r="H1" s="21" t="s">
        <v>32</v>
      </c>
      <c r="I1" s="21" t="s">
        <v>7</v>
      </c>
      <c r="J1" s="21" t="s">
        <v>8</v>
      </c>
    </row>
    <row r="2" spans="1:21" x14ac:dyDescent="0.3">
      <c r="A2" s="7" t="s">
        <v>10</v>
      </c>
      <c r="B2" s="7" t="s">
        <v>26</v>
      </c>
      <c r="C2" s="7">
        <v>7.46</v>
      </c>
      <c r="D2" s="7">
        <v>7.45</v>
      </c>
      <c r="E2" s="7">
        <v>7.43</v>
      </c>
      <c r="F2" s="7">
        <v>7.42</v>
      </c>
      <c r="G2" s="7">
        <v>7.43</v>
      </c>
      <c r="H2" s="7">
        <v>7.44</v>
      </c>
      <c r="I2" s="7">
        <f>AVERAGE(C2:H2)</f>
        <v>7.4383333333333326</v>
      </c>
      <c r="J2" s="7">
        <f>STDEVA(C2:H2)</f>
        <v>1.4719601443879854E-2</v>
      </c>
    </row>
    <row r="3" spans="1:21" x14ac:dyDescent="0.3">
      <c r="A3" s="7" t="s">
        <v>11</v>
      </c>
      <c r="B3" s="7" t="s">
        <v>26</v>
      </c>
      <c r="C3" s="7">
        <v>7.5</v>
      </c>
      <c r="D3" s="7">
        <v>7.65</v>
      </c>
      <c r="E3" s="7">
        <v>7.61</v>
      </c>
      <c r="F3" s="7">
        <v>7.6</v>
      </c>
      <c r="G3" s="7">
        <v>7.58</v>
      </c>
      <c r="H3" s="7">
        <v>7.75</v>
      </c>
      <c r="I3" s="7">
        <f>MEDIAN(C3:H3)</f>
        <v>7.6050000000000004</v>
      </c>
      <c r="J3" s="7">
        <f>AVEDEV(C3:H3)</f>
        <v>5.6666666666666497E-2</v>
      </c>
      <c r="P3" s="10"/>
      <c r="Q3" s="10"/>
      <c r="R3" s="10"/>
      <c r="S3" s="10"/>
      <c r="T3" s="10"/>
      <c r="U3" s="10"/>
    </row>
    <row r="4" spans="1:21" x14ac:dyDescent="0.3">
      <c r="A4" s="7" t="s">
        <v>103</v>
      </c>
      <c r="B4" s="25" t="s">
        <v>104</v>
      </c>
      <c r="C4" s="7">
        <v>37.1</v>
      </c>
      <c r="D4" s="7">
        <v>37.200000000000003</v>
      </c>
      <c r="E4" s="7">
        <v>37.1</v>
      </c>
      <c r="F4" s="7">
        <v>37</v>
      </c>
      <c r="G4" s="7">
        <v>37</v>
      </c>
      <c r="H4" s="7">
        <v>37.15</v>
      </c>
      <c r="I4" s="7">
        <f>AVERAGE(C4:H4)</f>
        <v>37.091666666666669</v>
      </c>
      <c r="J4" s="7">
        <f>_xlfn.STDEV.S(C4:H4)</f>
        <v>8.0104098937986729E-2</v>
      </c>
      <c r="P4" s="10"/>
      <c r="Q4" s="10"/>
      <c r="R4" s="10"/>
      <c r="S4" s="10"/>
      <c r="T4" s="10"/>
      <c r="U4" s="10"/>
    </row>
    <row r="5" spans="1:21" ht="15" x14ac:dyDescent="0.3">
      <c r="A5" s="7" t="s">
        <v>105</v>
      </c>
      <c r="B5" s="13" t="s">
        <v>27</v>
      </c>
      <c r="C5" s="16">
        <v>16820</v>
      </c>
      <c r="D5" s="16">
        <v>15680</v>
      </c>
      <c r="E5" s="16">
        <v>16714</v>
      </c>
      <c r="F5" s="16">
        <v>16316</v>
      </c>
      <c r="G5" s="16">
        <v>16512</v>
      </c>
      <c r="H5" s="17">
        <v>16970</v>
      </c>
      <c r="I5" s="13">
        <f>AVERAGE(C5:H5)</f>
        <v>16502</v>
      </c>
      <c r="J5" s="13">
        <f>AVEDEV(C5:I5)</f>
        <v>288</v>
      </c>
      <c r="P5" s="10"/>
      <c r="Q5" s="10"/>
      <c r="R5" s="10"/>
      <c r="S5" s="10"/>
      <c r="T5" s="12"/>
      <c r="U5" s="10"/>
    </row>
    <row r="6" spans="1:21" x14ac:dyDescent="0.3">
      <c r="A6" s="7" t="s">
        <v>14</v>
      </c>
      <c r="B6" s="13" t="s">
        <v>15</v>
      </c>
      <c r="C6" s="13">
        <v>23.2</v>
      </c>
      <c r="D6" s="7">
        <v>28.4</v>
      </c>
      <c r="E6" s="7">
        <v>23.7</v>
      </c>
      <c r="F6" s="7">
        <v>25.5</v>
      </c>
      <c r="G6" s="7">
        <v>24.7</v>
      </c>
      <c r="H6" s="7">
        <v>23.5</v>
      </c>
      <c r="I6" s="13">
        <f>AVERAGE(C6:H6)</f>
        <v>24.833333333333332</v>
      </c>
      <c r="J6" s="13">
        <f>AVEDEV(C6:H6)</f>
        <v>1.4111111111111108</v>
      </c>
      <c r="P6" s="10"/>
      <c r="Q6" s="10"/>
      <c r="R6" s="10"/>
      <c r="S6" s="10"/>
      <c r="T6" s="12"/>
      <c r="U6" s="10"/>
    </row>
    <row r="7" spans="1:21" x14ac:dyDescent="0.3">
      <c r="B7" s="14"/>
      <c r="P7" s="10"/>
      <c r="Q7" s="12"/>
      <c r="R7" s="10"/>
      <c r="S7" s="10"/>
      <c r="T7" s="12"/>
      <c r="U7" s="10"/>
    </row>
    <row r="8" spans="1:21" x14ac:dyDescent="0.3">
      <c r="P8" s="10"/>
      <c r="Q8" s="12"/>
      <c r="R8" s="10"/>
      <c r="S8" s="10"/>
      <c r="T8" s="12"/>
      <c r="U8" s="10"/>
    </row>
    <row r="9" spans="1:21" x14ac:dyDescent="0.3">
      <c r="B9" s="14"/>
      <c r="P9" s="10"/>
      <c r="Q9" s="12"/>
      <c r="R9" s="10"/>
      <c r="S9" s="10"/>
      <c r="T9" s="10"/>
      <c r="U9" s="10"/>
    </row>
    <row r="10" spans="1:21" x14ac:dyDescent="0.3">
      <c r="P10" s="10"/>
      <c r="Q10" s="12"/>
      <c r="R10" s="10"/>
      <c r="S10" s="10"/>
      <c r="T10" s="10"/>
      <c r="U10" s="10"/>
    </row>
    <row r="11" spans="1:21" x14ac:dyDescent="0.3">
      <c r="B11" s="14"/>
      <c r="P11" s="10"/>
      <c r="Q11" s="10"/>
      <c r="R11" s="10"/>
      <c r="S11" s="10"/>
      <c r="T11" s="10"/>
      <c r="U11" s="10"/>
    </row>
    <row r="12" spans="1:21" x14ac:dyDescent="0.3">
      <c r="P12" s="10"/>
      <c r="Q12" s="10"/>
      <c r="R12" s="10"/>
      <c r="S12" s="10"/>
      <c r="T12" s="10"/>
      <c r="U12" s="10"/>
    </row>
    <row r="13" spans="1:21" x14ac:dyDescent="0.3">
      <c r="P13" s="10"/>
      <c r="Q13" s="10"/>
      <c r="R13" s="10"/>
      <c r="S13" s="10"/>
      <c r="T13" s="10"/>
      <c r="U13" s="10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I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3" sqref="A3"/>
    </sheetView>
  </sheetViews>
  <sheetFormatPr defaultRowHeight="14.4" x14ac:dyDescent="0.3"/>
  <cols>
    <col min="1" max="1" width="14.44140625" style="7" customWidth="1"/>
    <col min="2" max="2" width="14.77734375" style="7" customWidth="1"/>
    <col min="3" max="6" width="8.88671875" style="7"/>
    <col min="7" max="7" width="11.44140625" style="7" bestFit="1" customWidth="1"/>
    <col min="8" max="16384" width="8.88671875" style="7"/>
  </cols>
  <sheetData>
    <row r="1" spans="1:10" x14ac:dyDescent="0.3">
      <c r="A1" s="21" t="s">
        <v>21</v>
      </c>
      <c r="B1" s="21" t="s">
        <v>9</v>
      </c>
      <c r="C1" s="21" t="s">
        <v>98</v>
      </c>
      <c r="D1" s="21" t="s">
        <v>99</v>
      </c>
      <c r="E1" s="21" t="s">
        <v>100</v>
      </c>
      <c r="F1" s="21" t="s">
        <v>7</v>
      </c>
      <c r="G1" s="21" t="s">
        <v>8</v>
      </c>
      <c r="H1" s="21"/>
      <c r="I1" s="21"/>
      <c r="J1" s="21"/>
    </row>
    <row r="2" spans="1:10" ht="15" x14ac:dyDescent="0.3">
      <c r="A2" s="7" t="s">
        <v>12</v>
      </c>
      <c r="B2" s="14" t="s">
        <v>13</v>
      </c>
      <c r="C2" s="7">
        <v>2283</v>
      </c>
      <c r="D2" s="7">
        <v>2381</v>
      </c>
      <c r="E2" s="7">
        <v>2483</v>
      </c>
      <c r="F2" s="7">
        <f>AVERAGE(C2:E2)</f>
        <v>2382.3333333333335</v>
      </c>
      <c r="G2" s="7">
        <f>_xlfn.STDEV.S(C2:E2)</f>
        <v>100.00666644445926</v>
      </c>
    </row>
    <row r="3" spans="1:10" ht="15" x14ac:dyDescent="0.3">
      <c r="A3" s="7" t="s">
        <v>102</v>
      </c>
      <c r="B3" s="11" t="s">
        <v>27</v>
      </c>
      <c r="C3" s="7">
        <v>22903</v>
      </c>
      <c r="D3" s="7">
        <v>21905</v>
      </c>
      <c r="E3" s="7">
        <v>20903</v>
      </c>
      <c r="F3" s="7">
        <f>AVERAGE(C3:E3)</f>
        <v>21903.666666666668</v>
      </c>
      <c r="G3" s="7">
        <f>_xlfn.STDEV.S(C3:E3)</f>
        <v>1000.0006666664444</v>
      </c>
    </row>
    <row r="4" spans="1:10" ht="15" x14ac:dyDescent="0.3">
      <c r="A4" s="7" t="s">
        <v>16</v>
      </c>
      <c r="B4" s="11" t="s">
        <v>27</v>
      </c>
      <c r="C4" s="7">
        <v>803</v>
      </c>
      <c r="D4" s="7">
        <v>881</v>
      </c>
      <c r="E4" s="7">
        <v>1002</v>
      </c>
      <c r="F4" s="16">
        <f>AVERAGE(C4:E4)</f>
        <v>895.33333333333337</v>
      </c>
      <c r="G4" s="16">
        <f>_xlfn.STDEV.S(C4:E4)</f>
        <v>100.27129865187412</v>
      </c>
      <c r="H4" s="17"/>
      <c r="I4" s="13"/>
      <c r="J4" s="13"/>
    </row>
    <row r="5" spans="1:10" x14ac:dyDescent="0.3">
      <c r="I5" s="13"/>
      <c r="J5" s="13"/>
    </row>
    <row r="6" spans="1:10" x14ac:dyDescent="0.3">
      <c r="B6" s="11"/>
    </row>
    <row r="11" spans="1:10" x14ac:dyDescent="0.3">
      <c r="B11" s="13"/>
      <c r="C11" s="16"/>
      <c r="D11" s="16"/>
      <c r="E11" s="16"/>
    </row>
    <row r="12" spans="1:10" x14ac:dyDescent="0.3">
      <c r="B12" s="13"/>
      <c r="C12" s="1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11" sqref="H11"/>
    </sheetView>
  </sheetViews>
  <sheetFormatPr defaultRowHeight="14.4" x14ac:dyDescent="0.3"/>
  <cols>
    <col min="1" max="1" width="24.88671875" style="7" customWidth="1"/>
    <col min="2" max="2" width="11" style="7" customWidth="1"/>
    <col min="3" max="3" width="12" style="7" customWidth="1"/>
    <col min="4" max="7" width="8.88671875" style="7"/>
    <col min="8" max="8" width="12" style="7" bestFit="1" customWidth="1"/>
    <col min="9" max="16384" width="8.88671875" style="7"/>
  </cols>
  <sheetData>
    <row r="1" spans="1:8" s="21" customFormat="1" x14ac:dyDescent="0.3">
      <c r="A1" s="21" t="s">
        <v>21</v>
      </c>
      <c r="B1" s="21" t="s">
        <v>25</v>
      </c>
      <c r="C1" s="21" t="s">
        <v>9</v>
      </c>
      <c r="D1" s="21" t="s">
        <v>95</v>
      </c>
      <c r="E1" s="21" t="s">
        <v>96</v>
      </c>
      <c r="F1" s="21" t="s">
        <v>97</v>
      </c>
      <c r="G1" s="21" t="s">
        <v>92</v>
      </c>
      <c r="H1" s="21" t="s">
        <v>93</v>
      </c>
    </row>
    <row r="2" spans="1:8" ht="15" x14ac:dyDescent="0.3">
      <c r="A2" s="7" t="s">
        <v>22</v>
      </c>
      <c r="B2" s="7" t="s">
        <v>17</v>
      </c>
      <c r="C2" s="14" t="s">
        <v>18</v>
      </c>
      <c r="D2" s="7">
        <v>20345</v>
      </c>
      <c r="E2" s="7">
        <v>20444</v>
      </c>
      <c r="F2" s="7">
        <v>20585</v>
      </c>
      <c r="G2" s="7">
        <f>AVERAGE(D2:F2)</f>
        <v>20458</v>
      </c>
      <c r="H2" s="7">
        <f>_xlfn.STDEV.S(D2:F2)</f>
        <v>120.61094477699774</v>
      </c>
    </row>
    <row r="3" spans="1:8" x14ac:dyDescent="0.3">
      <c r="A3" s="7" t="s">
        <v>22</v>
      </c>
      <c r="B3" s="7" t="s">
        <v>17</v>
      </c>
      <c r="C3" s="7" t="s">
        <v>15</v>
      </c>
      <c r="D3" s="7">
        <v>2</v>
      </c>
      <c r="E3" s="7">
        <v>2</v>
      </c>
      <c r="F3" s="7">
        <v>2</v>
      </c>
      <c r="G3" s="7">
        <f>AVERAGE(D3:F3)</f>
        <v>2</v>
      </c>
      <c r="H3" s="7">
        <f>_xlfn.STDEV.S(D3:F3)</f>
        <v>0</v>
      </c>
    </row>
    <row r="4" spans="1:8" ht="15" x14ac:dyDescent="0.3">
      <c r="A4" s="7" t="s">
        <v>23</v>
      </c>
      <c r="B4" s="7" t="s">
        <v>19</v>
      </c>
      <c r="C4" s="14" t="s">
        <v>18</v>
      </c>
      <c r="D4" s="7">
        <v>11132</v>
      </c>
      <c r="E4" s="7">
        <v>11165</v>
      </c>
      <c r="F4" s="7">
        <v>11453</v>
      </c>
      <c r="G4" s="7">
        <f>AVERAGE(D4:F4)</f>
        <v>11250</v>
      </c>
      <c r="H4" s="7">
        <f>_xlfn.STDEV.S(D4:F4)</f>
        <v>176.5757627762089</v>
      </c>
    </row>
    <row r="5" spans="1:8" x14ac:dyDescent="0.3">
      <c r="A5" s="7" t="s">
        <v>23</v>
      </c>
      <c r="B5" s="7" t="s">
        <v>19</v>
      </c>
      <c r="C5" s="7" t="s">
        <v>15</v>
      </c>
      <c r="D5" s="7">
        <v>1.1000000000000001</v>
      </c>
      <c r="E5" s="7">
        <v>1.1000000000000001</v>
      </c>
      <c r="F5" s="7">
        <v>1.1000000000000001</v>
      </c>
      <c r="G5" s="7">
        <f>AVERAGE(D5:F5)</f>
        <v>1.1000000000000001</v>
      </c>
      <c r="H5" s="7">
        <f>_xlfn.STDEV.S(D5:F5)</f>
        <v>0</v>
      </c>
    </row>
    <row r="6" spans="1:8" ht="15" x14ac:dyDescent="0.3">
      <c r="A6" s="7" t="s">
        <v>24</v>
      </c>
      <c r="B6" s="7" t="s">
        <v>20</v>
      </c>
      <c r="C6" s="14" t="s">
        <v>18</v>
      </c>
      <c r="D6" s="7">
        <v>8011</v>
      </c>
      <c r="E6" s="7">
        <v>8050</v>
      </c>
      <c r="F6" s="7">
        <v>8073</v>
      </c>
      <c r="G6" s="7">
        <f>AVERAGE(D6:F6)</f>
        <v>8044.666666666667</v>
      </c>
      <c r="H6" s="7">
        <f>_xlfn.STDEV.S(D6:F6)</f>
        <v>31.342197327777345</v>
      </c>
    </row>
    <row r="7" spans="1:8" x14ac:dyDescent="0.3">
      <c r="A7" s="7" t="s">
        <v>24</v>
      </c>
      <c r="B7" s="7" t="s">
        <v>20</v>
      </c>
      <c r="C7" s="7" t="s">
        <v>15</v>
      </c>
      <c r="D7" s="7">
        <v>0.8</v>
      </c>
      <c r="E7" s="7">
        <v>0.8</v>
      </c>
      <c r="F7" s="7">
        <v>0.8</v>
      </c>
      <c r="G7" s="7">
        <f>AVERAGE(D7:F7)</f>
        <v>0.80000000000000016</v>
      </c>
      <c r="H7" s="7">
        <f>_xlfn.STDEV.S(D7:F7)</f>
        <v>1.3597399555105182E-16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4.4" x14ac:dyDescent="0.3"/>
  <cols>
    <col min="1" max="1" width="20.44140625" customWidth="1"/>
    <col min="2" max="2" width="26.109375" customWidth="1"/>
    <col min="3" max="3" width="18.109375" customWidth="1"/>
    <col min="4" max="4" width="26.77734375" customWidth="1"/>
  </cols>
  <sheetData>
    <row r="1" spans="1:2" x14ac:dyDescent="0.3">
      <c r="A1" t="s">
        <v>86</v>
      </c>
    </row>
    <row r="2" spans="1:2" x14ac:dyDescent="0.3">
      <c r="A2" t="s">
        <v>35</v>
      </c>
      <c r="B2" t="s">
        <v>36</v>
      </c>
    </row>
    <row r="3" spans="1:2" x14ac:dyDescent="0.3">
      <c r="A3" t="s">
        <v>61</v>
      </c>
    </row>
    <row r="4" spans="1:2" x14ac:dyDescent="0.3">
      <c r="A4" t="s">
        <v>62</v>
      </c>
      <c r="B4" t="s">
        <v>37</v>
      </c>
    </row>
    <row r="5" spans="1:2" x14ac:dyDescent="0.3">
      <c r="A5" t="s">
        <v>64</v>
      </c>
      <c r="B5" t="s">
        <v>39</v>
      </c>
    </row>
    <row r="6" spans="1:2" x14ac:dyDescent="0.3">
      <c r="A6" t="s">
        <v>66</v>
      </c>
      <c r="B6" t="s">
        <v>41</v>
      </c>
    </row>
    <row r="7" spans="1:2" x14ac:dyDescent="0.3">
      <c r="A7" t="s">
        <v>68</v>
      </c>
      <c r="B7" t="s">
        <v>43</v>
      </c>
    </row>
    <row r="8" spans="1:2" x14ac:dyDescent="0.3">
      <c r="A8" t="s">
        <v>70</v>
      </c>
      <c r="B8" t="s">
        <v>45</v>
      </c>
    </row>
    <row r="9" spans="1:2" x14ac:dyDescent="0.3">
      <c r="A9" t="s">
        <v>72</v>
      </c>
      <c r="B9" t="s">
        <v>47</v>
      </c>
    </row>
    <row r="10" spans="1:2" x14ac:dyDescent="0.3">
      <c r="A10" t="s">
        <v>74</v>
      </c>
      <c r="B10" t="s">
        <v>49</v>
      </c>
    </row>
    <row r="11" spans="1:2" x14ac:dyDescent="0.3">
      <c r="A11" t="s">
        <v>76</v>
      </c>
      <c r="B11" t="s">
        <v>51</v>
      </c>
    </row>
    <row r="12" spans="1:2" x14ac:dyDescent="0.3">
      <c r="A12" t="s">
        <v>78</v>
      </c>
      <c r="B12" t="s">
        <v>53</v>
      </c>
    </row>
    <row r="13" spans="1:2" x14ac:dyDescent="0.3">
      <c r="A13" t="s">
        <v>80</v>
      </c>
      <c r="B13" t="s">
        <v>55</v>
      </c>
    </row>
    <row r="14" spans="1:2" x14ac:dyDescent="0.3">
      <c r="A14" t="s">
        <v>82</v>
      </c>
      <c r="B14" t="s">
        <v>57</v>
      </c>
    </row>
    <row r="15" spans="1:2" x14ac:dyDescent="0.3">
      <c r="A15" t="s">
        <v>84</v>
      </c>
      <c r="B15" t="s">
        <v>59</v>
      </c>
    </row>
    <row r="16" spans="1:2" x14ac:dyDescent="0.3">
      <c r="A16" t="s">
        <v>63</v>
      </c>
      <c r="B16" t="s">
        <v>38</v>
      </c>
    </row>
    <row r="17" spans="1:2" x14ac:dyDescent="0.3">
      <c r="A17" t="s">
        <v>65</v>
      </c>
      <c r="B17" t="s">
        <v>40</v>
      </c>
    </row>
    <row r="18" spans="1:2" x14ac:dyDescent="0.3">
      <c r="A18" t="s">
        <v>67</v>
      </c>
      <c r="B18" t="s">
        <v>42</v>
      </c>
    </row>
    <row r="19" spans="1:2" x14ac:dyDescent="0.3">
      <c r="A19" t="s">
        <v>69</v>
      </c>
      <c r="B19" t="s">
        <v>44</v>
      </c>
    </row>
    <row r="20" spans="1:2" x14ac:dyDescent="0.3">
      <c r="A20" t="s">
        <v>71</v>
      </c>
      <c r="B20" t="s">
        <v>46</v>
      </c>
    </row>
    <row r="21" spans="1:2" x14ac:dyDescent="0.3">
      <c r="A21" t="s">
        <v>73</v>
      </c>
      <c r="B21" t="s">
        <v>48</v>
      </c>
    </row>
    <row r="22" spans="1:2" x14ac:dyDescent="0.3">
      <c r="A22" t="s">
        <v>75</v>
      </c>
      <c r="B22" t="s">
        <v>50</v>
      </c>
    </row>
    <row r="23" spans="1:2" x14ac:dyDescent="0.3">
      <c r="A23" t="s">
        <v>77</v>
      </c>
      <c r="B23" t="s">
        <v>52</v>
      </c>
    </row>
    <row r="24" spans="1:2" x14ac:dyDescent="0.3">
      <c r="A24" t="s">
        <v>79</v>
      </c>
      <c r="B24" t="s">
        <v>54</v>
      </c>
    </row>
    <row r="25" spans="1:2" x14ac:dyDescent="0.3">
      <c r="A25" t="s">
        <v>81</v>
      </c>
      <c r="B25" t="s">
        <v>56</v>
      </c>
    </row>
    <row r="26" spans="1:2" x14ac:dyDescent="0.3">
      <c r="A26" t="s">
        <v>83</v>
      </c>
      <c r="B26" t="s">
        <v>58</v>
      </c>
    </row>
    <row r="27" spans="1:2" x14ac:dyDescent="0.3">
      <c r="A27" t="s">
        <v>85</v>
      </c>
      <c r="B27" t="s">
        <v>60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4.4" x14ac:dyDescent="0.3"/>
  <cols>
    <col min="1" max="1" width="10.109375" style="7" customWidth="1"/>
    <col min="2" max="2" width="11" style="7" customWidth="1"/>
    <col min="3" max="3" width="12" style="7" customWidth="1"/>
    <col min="4" max="16384" width="8.88671875" style="7"/>
  </cols>
  <sheetData>
    <row r="1" spans="1:4" ht="16.8" x14ac:dyDescent="0.3">
      <c r="A1" s="23" t="s">
        <v>101</v>
      </c>
    </row>
    <row r="2" spans="1:4" s="21" customFormat="1" x14ac:dyDescent="0.3">
      <c r="A2" s="21" t="s">
        <v>87</v>
      </c>
      <c r="B2" s="21" t="s">
        <v>91</v>
      </c>
      <c r="C2" s="21" t="s">
        <v>91</v>
      </c>
      <c r="D2" s="21" t="s">
        <v>90</v>
      </c>
    </row>
    <row r="3" spans="1:4" x14ac:dyDescent="0.3">
      <c r="B3" s="7" t="s">
        <v>88</v>
      </c>
      <c r="C3" s="14" t="s">
        <v>89</v>
      </c>
    </row>
    <row r="4" spans="1:4" x14ac:dyDescent="0.3">
      <c r="A4" s="7">
        <v>0</v>
      </c>
      <c r="B4" s="7">
        <v>0</v>
      </c>
      <c r="C4" s="7">
        <v>0</v>
      </c>
      <c r="D4" s="7">
        <v>0</v>
      </c>
    </row>
    <row r="5" spans="1:4" x14ac:dyDescent="0.3">
      <c r="A5" s="7">
        <v>1</v>
      </c>
      <c r="B5" s="15">
        <v>469697</v>
      </c>
      <c r="C5" s="22">
        <v>464013</v>
      </c>
      <c r="D5" s="15">
        <v>-12101</v>
      </c>
    </row>
    <row r="6" spans="1:4" x14ac:dyDescent="0.3">
      <c r="A6" s="7">
        <v>2</v>
      </c>
      <c r="B6" s="15">
        <v>712121</v>
      </c>
      <c r="C6" s="15">
        <v>728888</v>
      </c>
      <c r="D6" s="15">
        <v>23545</v>
      </c>
    </row>
    <row r="7" spans="1:4" x14ac:dyDescent="0.3">
      <c r="A7" s="7">
        <v>3</v>
      </c>
      <c r="B7" s="15">
        <v>875758</v>
      </c>
      <c r="C7" s="22">
        <v>895668</v>
      </c>
      <c r="D7" s="15">
        <v>22735</v>
      </c>
    </row>
    <row r="8" spans="1:4" x14ac:dyDescent="0.3">
      <c r="A8" s="7">
        <v>4</v>
      </c>
      <c r="B8" s="15">
        <v>984848</v>
      </c>
      <c r="C8" s="15">
        <v>1003918</v>
      </c>
      <c r="D8" s="15">
        <v>19363</v>
      </c>
    </row>
    <row r="9" spans="1:4" x14ac:dyDescent="0.3">
      <c r="A9" s="7">
        <v>5</v>
      </c>
      <c r="B9" s="15">
        <v>1063636</v>
      </c>
      <c r="C9" s="15">
        <v>1076856</v>
      </c>
      <c r="D9" s="15">
        <v>12429</v>
      </c>
    </row>
    <row r="10" spans="1:4" x14ac:dyDescent="0.3">
      <c r="A10" s="7">
        <v>6</v>
      </c>
      <c r="B10" s="15">
        <v>1145455</v>
      </c>
      <c r="C10" s="15">
        <v>1128359</v>
      </c>
      <c r="D10" s="15">
        <v>-14925</v>
      </c>
    </row>
    <row r="11" spans="1:4" x14ac:dyDescent="0.3">
      <c r="A11" s="7">
        <v>7</v>
      </c>
      <c r="B11" s="15">
        <v>1200000</v>
      </c>
      <c r="C11" s="15">
        <v>1166777</v>
      </c>
      <c r="D11" s="15">
        <v>-27685</v>
      </c>
    </row>
    <row r="12" spans="1:4" x14ac:dyDescent="0.3">
      <c r="A12" s="7">
        <v>8</v>
      </c>
      <c r="B12" s="15">
        <v>1225758</v>
      </c>
      <c r="C12" s="15">
        <v>1197153</v>
      </c>
      <c r="D12" s="15">
        <v>-23336</v>
      </c>
    </row>
    <row r="13" spans="1:4" x14ac:dyDescent="0.3">
      <c r="A13" s="7">
        <v>9</v>
      </c>
      <c r="B13" s="15">
        <v>1236364</v>
      </c>
      <c r="C13" s="15">
        <v>1222534</v>
      </c>
      <c r="D13" s="15">
        <v>-11186</v>
      </c>
    </row>
    <row r="14" spans="1:4" x14ac:dyDescent="0.3">
      <c r="A14" s="7">
        <v>10</v>
      </c>
      <c r="B14" s="15">
        <v>1236364</v>
      </c>
      <c r="C14" s="15">
        <v>1244768</v>
      </c>
      <c r="D14" s="7">
        <v>0.67969999999999997</v>
      </c>
    </row>
    <row r="15" spans="1:4" x14ac:dyDescent="0.3">
      <c r="A15" s="7">
        <v>11</v>
      </c>
      <c r="B15" s="15">
        <v>1236364</v>
      </c>
      <c r="C15" s="15">
        <v>1264973</v>
      </c>
      <c r="D15" s="15">
        <v>23140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CH4 N mL</vt:lpstr>
      <vt:lpstr>CH4 gVS </vt:lpstr>
      <vt:lpstr>physc-chem</vt:lpstr>
      <vt:lpstr>chemic</vt:lpstr>
      <vt:lpstr>solids</vt:lpstr>
      <vt:lpstr>ADM1</vt:lpstr>
      <vt:lpstr> ADM1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Erthal Rocha</dc:creator>
  <cp:lastModifiedBy>Mariana Erthal Rocha</cp:lastModifiedBy>
  <dcterms:created xsi:type="dcterms:W3CDTF">2023-06-01T22:49:16Z</dcterms:created>
  <dcterms:modified xsi:type="dcterms:W3CDTF">2023-06-02T17:58:54Z</dcterms:modified>
</cp:coreProperties>
</file>