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hushi\Desktop\Supplementary files BOLD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1" l="1"/>
  <c r="S22" i="1"/>
  <c r="R22" i="1"/>
  <c r="Q22" i="1"/>
  <c r="P22" i="1"/>
  <c r="O22" i="1"/>
  <c r="N22" i="1"/>
  <c r="M22" i="1"/>
  <c r="L22" i="1"/>
  <c r="K22" i="1"/>
  <c r="J22" i="1"/>
  <c r="G22" i="1"/>
  <c r="D22" i="1"/>
  <c r="E22" i="1" s="1"/>
  <c r="C22" i="1"/>
  <c r="F22" i="1" s="1"/>
  <c r="S21" i="1"/>
  <c r="P21" i="1"/>
  <c r="M21" i="1"/>
  <c r="K21" i="1"/>
  <c r="E21" i="1"/>
  <c r="F21" i="1" s="1"/>
  <c r="S20" i="1"/>
  <c r="P20" i="1"/>
  <c r="M20" i="1"/>
  <c r="K20" i="1"/>
  <c r="E20" i="1"/>
  <c r="F20" i="1" s="1"/>
  <c r="S19" i="1"/>
  <c r="P19" i="1"/>
  <c r="K19" i="1"/>
  <c r="F19" i="1"/>
  <c r="E19" i="1"/>
  <c r="E18" i="1"/>
  <c r="F18" i="1" s="1"/>
  <c r="F17" i="1"/>
  <c r="E17" i="1"/>
  <c r="S16" i="1"/>
  <c r="P16" i="1"/>
  <c r="M16" i="1"/>
  <c r="K16" i="1"/>
  <c r="E16" i="1"/>
  <c r="F16" i="1" s="1"/>
  <c r="S15" i="1"/>
  <c r="P15" i="1"/>
  <c r="M15" i="1"/>
  <c r="K15" i="1"/>
  <c r="F15" i="1"/>
  <c r="E15" i="1"/>
  <c r="S14" i="1"/>
  <c r="P14" i="1"/>
  <c r="M14" i="1"/>
  <c r="K14" i="1"/>
  <c r="E14" i="1"/>
  <c r="F14" i="1" s="1"/>
  <c r="S13" i="1"/>
  <c r="P13" i="1"/>
  <c r="M13" i="1"/>
  <c r="K13" i="1"/>
  <c r="F13" i="1"/>
  <c r="E13" i="1"/>
  <c r="S12" i="1"/>
  <c r="P12" i="1"/>
  <c r="K12" i="1"/>
  <c r="F12" i="1"/>
  <c r="E12" i="1"/>
  <c r="E11" i="1"/>
  <c r="F11" i="1" s="1"/>
  <c r="F10" i="1"/>
  <c r="E10" i="1"/>
  <c r="S9" i="1"/>
  <c r="P9" i="1"/>
  <c r="M9" i="1"/>
  <c r="K9" i="1"/>
  <c r="E9" i="1"/>
  <c r="F9" i="1" s="1"/>
  <c r="S8" i="1"/>
  <c r="P8" i="1"/>
  <c r="M8" i="1"/>
  <c r="K8" i="1"/>
  <c r="F8" i="1"/>
  <c r="E8" i="1"/>
  <c r="E7" i="1"/>
  <c r="F7" i="1" s="1"/>
  <c r="S6" i="1"/>
  <c r="P6" i="1"/>
  <c r="M6" i="1"/>
  <c r="K6" i="1"/>
  <c r="F6" i="1"/>
  <c r="E6" i="1"/>
  <c r="S5" i="1"/>
  <c r="P5" i="1"/>
  <c r="M5" i="1"/>
  <c r="K5" i="1"/>
  <c r="E5" i="1"/>
  <c r="F5" i="1" s="1"/>
</calcChain>
</file>

<file path=xl/sharedStrings.xml><?xml version="1.0" encoding="utf-8"?>
<sst xmlns="http://schemas.openxmlformats.org/spreadsheetml/2006/main" count="42" uniqueCount="42">
  <si>
    <t>Barcodes assigned BIN</t>
  </si>
  <si>
    <t>Barcodes without BIN*</t>
  </si>
  <si>
    <t>Specimens with barcodes</t>
  </si>
  <si>
    <t>Specimens assigned to BINs (%)</t>
  </si>
  <si>
    <t>BINs recovered</t>
  </si>
  <si>
    <t>OTUs without BIN</t>
  </si>
  <si>
    <t>Records in  OTUs</t>
  </si>
  <si>
    <t>Singleton Bins</t>
  </si>
  <si>
    <t>Singleton BINs (%)</t>
  </si>
  <si>
    <t xml:space="preserve">BINs assigned to family </t>
  </si>
  <si>
    <t>BINs assigned to family (%)</t>
  </si>
  <si>
    <t>Families recovered</t>
  </si>
  <si>
    <t xml:space="preserve">BINs assigned to genus </t>
  </si>
  <si>
    <t>BINs assigned to genus (%)</t>
  </si>
  <si>
    <t>Genera recovered</t>
  </si>
  <si>
    <t>BINs assigned to species</t>
  </si>
  <si>
    <t>BINs assigned to species (%)</t>
  </si>
  <si>
    <t>Species recovered</t>
  </si>
  <si>
    <t>Class Arachnida</t>
  </si>
  <si>
    <t>Araneae</t>
  </si>
  <si>
    <t>Mesostigmata</t>
  </si>
  <si>
    <t>sarcoptiformes</t>
  </si>
  <si>
    <t>Trombidiformes</t>
  </si>
  <si>
    <t>Class Collembola</t>
  </si>
  <si>
    <t>Entomobryomorpha</t>
  </si>
  <si>
    <t>Symphypleona</t>
  </si>
  <si>
    <t>Class Malacostraca</t>
  </si>
  <si>
    <t>Isopoda</t>
  </si>
  <si>
    <t>Class Insecta</t>
  </si>
  <si>
    <t>Coleoptera</t>
  </si>
  <si>
    <t>Diptera</t>
  </si>
  <si>
    <t>Hemiptera</t>
  </si>
  <si>
    <t>Hymenoptera</t>
  </si>
  <si>
    <t>Lepidoptera</t>
  </si>
  <si>
    <t>Neuroptera</t>
  </si>
  <si>
    <t>Odonata</t>
  </si>
  <si>
    <t>Orthoptera</t>
  </si>
  <si>
    <t>Psocodea</t>
  </si>
  <si>
    <t>Thysanoptera</t>
  </si>
  <si>
    <t>Total</t>
  </si>
  <si>
    <t>one barcode to class gastropoda of Phylum Mollusca</t>
  </si>
  <si>
    <t xml:space="preserve">Table S1: Count of specimens having DNA barcode records from  17 orders. For every order, the number of families, genera, species, and BINs is given.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</si>
</sst>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3F3F3F"/>
      <name val="Times New Roman"/>
      <family val="1"/>
    </font>
    <font>
      <sz val="11"/>
      <color rgb="FF9C6500"/>
      <name val="Times New Roman"/>
      <family val="1"/>
    </font>
    <font>
      <sz val="11"/>
      <color rgb="FF9C0006"/>
      <name val="Times New Roman"/>
      <family val="1"/>
    </font>
    <font>
      <sz val="11"/>
      <color rgb="FF006100"/>
      <name val="Times New Roman"/>
      <family val="1"/>
    </font>
    <font>
      <sz val="11"/>
      <color theme="0"/>
      <name val="Times New Roman"/>
      <family val="1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0" applyNumberFormat="0" applyBorder="0" applyAlignment="0" applyProtection="0"/>
    <xf numFmtId="0" fontId="1" fillId="7" borderId="0" applyNumberFormat="0" applyBorder="0" applyAlignment="0" applyProtection="0"/>
  </cellStyleXfs>
  <cellXfs count="21">
    <xf numFmtId="0" fontId="0" fillId="0" borderId="0" xfId="0"/>
    <xf numFmtId="0" fontId="7" fillId="0" borderId="0" xfId="0" applyFont="1"/>
    <xf numFmtId="0" fontId="8" fillId="5" borderId="1" xfId="4" applyFont="1" applyAlignment="1">
      <alignment horizontal="center" wrapText="1"/>
    </xf>
    <xf numFmtId="0" fontId="9" fillId="4" borderId="0" xfId="3" applyFont="1"/>
    <xf numFmtId="0" fontId="9" fillId="4" borderId="0" xfId="3" applyFont="1" applyAlignment="1">
      <alignment horizontal="center"/>
    </xf>
    <xf numFmtId="2" fontId="9" fillId="4" borderId="0" xfId="3" applyNumberFormat="1" applyFont="1" applyAlignment="1">
      <alignment horizontal="center"/>
    </xf>
    <xf numFmtId="0" fontId="10" fillId="3" borderId="0" xfId="2" applyFont="1"/>
    <xf numFmtId="0" fontId="10" fillId="3" borderId="0" xfId="2" applyFont="1" applyAlignment="1">
      <alignment horizontal="center"/>
    </xf>
    <xf numFmtId="2" fontId="10" fillId="3" borderId="0" xfId="2" applyNumberFormat="1" applyFont="1" applyAlignment="1">
      <alignment horizontal="center"/>
    </xf>
    <xf numFmtId="0" fontId="11" fillId="2" borderId="0" xfId="1" applyFont="1"/>
    <xf numFmtId="0" fontId="11" fillId="2" borderId="0" xfId="1" applyFont="1" applyAlignment="1">
      <alignment horizontal="center"/>
    </xf>
    <xf numFmtId="2" fontId="11" fillId="2" borderId="0" xfId="1" applyNumberFormat="1" applyFont="1" applyAlignment="1">
      <alignment horizontal="center"/>
    </xf>
    <xf numFmtId="0" fontId="7" fillId="7" borderId="0" xfId="6" applyFont="1"/>
    <xf numFmtId="0" fontId="7" fillId="7" borderId="0" xfId="6" applyFont="1" applyAlignment="1">
      <alignment horizontal="center"/>
    </xf>
    <xf numFmtId="2" fontId="7" fillId="7" borderId="0" xfId="6" applyNumberFormat="1" applyFont="1" applyAlignment="1">
      <alignment horizontal="center"/>
    </xf>
    <xf numFmtId="0" fontId="12" fillId="6" borderId="0" xfId="5" applyFont="1" applyAlignment="1">
      <alignment horizontal="center"/>
    </xf>
    <xf numFmtId="2" fontId="12" fillId="6" borderId="0" xfId="5" applyNumberFormat="1" applyFont="1" applyAlignment="1">
      <alignment horizontal="center"/>
    </xf>
    <xf numFmtId="0" fontId="7" fillId="0" borderId="0" xfId="0" applyFont="1" applyAlignment="1"/>
    <xf numFmtId="1" fontId="7" fillId="0" borderId="0" xfId="0" applyNumberFormat="1" applyFont="1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</cellXfs>
  <cellStyles count="7">
    <cellStyle name="20% - Accent2" xfId="6" builtinId="34"/>
    <cellStyle name="Accent1" xfId="5" builtinId="29"/>
    <cellStyle name="Bad" xfId="2" builtinId="27"/>
    <cellStyle name="Good" xfId="1" builtinId="26"/>
    <cellStyle name="Neutral" xfId="3" builtinId="28"/>
    <cellStyle name="Normal" xfId="0" builtinId="0"/>
    <cellStyle name="Output" xfId="4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3"/>
  <sheetViews>
    <sheetView tabSelected="1" workbookViewId="0">
      <selection activeCell="C2" sqref="C2:P2"/>
    </sheetView>
  </sheetViews>
  <sheetFormatPr defaultRowHeight="15" x14ac:dyDescent="0.25"/>
  <cols>
    <col min="1" max="2" width="17.7109375" customWidth="1"/>
    <col min="3" max="3" width="12.7109375" customWidth="1"/>
    <col min="4" max="4" width="11.5703125" customWidth="1"/>
    <col min="5" max="5" width="12.140625" customWidth="1"/>
    <col min="6" max="6" width="12.28515625" customWidth="1"/>
    <col min="7" max="7" width="12.5703125" customWidth="1"/>
    <col min="8" max="8" width="10.7109375" customWidth="1"/>
    <col min="9" max="9" width="11" customWidth="1"/>
    <col min="10" max="10" width="10.5703125" customWidth="1"/>
    <col min="11" max="11" width="12.42578125" customWidth="1"/>
    <col min="12" max="12" width="12.140625" customWidth="1"/>
    <col min="13" max="13" width="16.140625" customWidth="1"/>
    <col min="14" max="14" width="14" customWidth="1"/>
    <col min="15" max="15" width="13.28515625" customWidth="1"/>
    <col min="16" max="16" width="15.140625" customWidth="1"/>
    <col min="17" max="18" width="11.28515625" customWidth="1"/>
    <col min="19" max="19" width="13.140625" customWidth="1"/>
    <col min="20" max="20" width="10.42578125" customWidth="1"/>
  </cols>
  <sheetData>
    <row r="2" spans="1:20" ht="18.75" x14ac:dyDescent="0.3">
      <c r="C2" s="20" t="s">
        <v>41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4" spans="1:20" ht="43.5" x14ac:dyDescent="0.25">
      <c r="A4" s="1"/>
      <c r="B4" s="2"/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12</v>
      </c>
      <c r="P4" s="2" t="s">
        <v>13</v>
      </c>
      <c r="Q4" s="2" t="s">
        <v>14</v>
      </c>
      <c r="R4" s="2" t="s">
        <v>15</v>
      </c>
      <c r="S4" s="2" t="s">
        <v>16</v>
      </c>
      <c r="T4" s="2" t="s">
        <v>17</v>
      </c>
    </row>
    <row r="5" spans="1:20" x14ac:dyDescent="0.25">
      <c r="A5" s="3" t="s">
        <v>18</v>
      </c>
      <c r="B5" s="4" t="s">
        <v>19</v>
      </c>
      <c r="C5" s="4">
        <v>33</v>
      </c>
      <c r="D5" s="4">
        <v>24</v>
      </c>
      <c r="E5" s="4">
        <f>D5+C5</f>
        <v>57</v>
      </c>
      <c r="F5" s="5">
        <f>C5/E5*100</f>
        <v>57.894736842105267</v>
      </c>
      <c r="G5" s="4">
        <v>15</v>
      </c>
      <c r="H5" s="4">
        <v>1</v>
      </c>
      <c r="I5" s="4">
        <v>1</v>
      </c>
      <c r="J5" s="4">
        <v>9</v>
      </c>
      <c r="K5" s="5">
        <f>9/15*100</f>
        <v>60</v>
      </c>
      <c r="L5" s="4">
        <v>12</v>
      </c>
      <c r="M5" s="5">
        <f>12/14*100</f>
        <v>85.714285714285708</v>
      </c>
      <c r="N5" s="4">
        <v>11</v>
      </c>
      <c r="O5" s="4">
        <v>10</v>
      </c>
      <c r="P5" s="5">
        <f>10/14*100</f>
        <v>71.428571428571431</v>
      </c>
      <c r="Q5" s="4">
        <v>10</v>
      </c>
      <c r="R5" s="4">
        <v>4</v>
      </c>
      <c r="S5" s="5">
        <f>4/14*100</f>
        <v>28.571428571428569</v>
      </c>
      <c r="T5" s="4">
        <v>4</v>
      </c>
    </row>
    <row r="6" spans="1:20" x14ac:dyDescent="0.25">
      <c r="A6" s="1"/>
      <c r="B6" s="4" t="s">
        <v>20</v>
      </c>
      <c r="C6" s="4">
        <v>24</v>
      </c>
      <c r="D6" s="4">
        <v>0</v>
      </c>
      <c r="E6" s="4">
        <f t="shared" ref="E6:E22" si="0">D6+C6</f>
        <v>24</v>
      </c>
      <c r="F6" s="5">
        <f t="shared" ref="F6:F22" si="1">C6/E6*100</f>
        <v>100</v>
      </c>
      <c r="G6" s="4">
        <v>11</v>
      </c>
      <c r="H6" s="4">
        <v>0</v>
      </c>
      <c r="I6" s="4">
        <v>0</v>
      </c>
      <c r="J6" s="4">
        <v>4</v>
      </c>
      <c r="K6" s="5">
        <f>4/11*100</f>
        <v>36.363636363636367</v>
      </c>
      <c r="L6" s="4">
        <v>9</v>
      </c>
      <c r="M6" s="5">
        <f>9/11*100</f>
        <v>81.818181818181827</v>
      </c>
      <c r="N6" s="4">
        <v>4</v>
      </c>
      <c r="O6" s="4">
        <v>6</v>
      </c>
      <c r="P6" s="5">
        <f>6/11*100</f>
        <v>54.54545454545454</v>
      </c>
      <c r="Q6" s="4">
        <v>3</v>
      </c>
      <c r="R6" s="4">
        <v>3</v>
      </c>
      <c r="S6" s="5">
        <f>3/11*100</f>
        <v>27.27272727272727</v>
      </c>
      <c r="T6" s="4">
        <v>3</v>
      </c>
    </row>
    <row r="7" spans="1:20" x14ac:dyDescent="0.25">
      <c r="A7" s="1"/>
      <c r="B7" s="4" t="s">
        <v>21</v>
      </c>
      <c r="C7" s="4">
        <v>3</v>
      </c>
      <c r="D7" s="4">
        <v>0</v>
      </c>
      <c r="E7" s="4">
        <f t="shared" si="0"/>
        <v>3</v>
      </c>
      <c r="F7" s="5">
        <f t="shared" si="1"/>
        <v>100</v>
      </c>
      <c r="G7" s="4">
        <v>1</v>
      </c>
      <c r="H7" s="4">
        <v>0</v>
      </c>
      <c r="I7" s="4">
        <v>0</v>
      </c>
      <c r="J7" s="4">
        <v>0</v>
      </c>
      <c r="K7" s="5">
        <v>0</v>
      </c>
      <c r="L7" s="4">
        <v>0</v>
      </c>
      <c r="M7" s="5">
        <v>0</v>
      </c>
      <c r="N7" s="4">
        <v>0</v>
      </c>
      <c r="O7" s="4">
        <v>0</v>
      </c>
      <c r="P7" s="5">
        <v>0</v>
      </c>
      <c r="Q7" s="4">
        <v>0</v>
      </c>
      <c r="R7" s="4">
        <v>0</v>
      </c>
      <c r="S7" s="5">
        <v>0</v>
      </c>
      <c r="T7" s="4">
        <v>0</v>
      </c>
    </row>
    <row r="8" spans="1:20" x14ac:dyDescent="0.25">
      <c r="A8" s="1"/>
      <c r="B8" s="4" t="s">
        <v>22</v>
      </c>
      <c r="C8" s="4">
        <v>15</v>
      </c>
      <c r="D8" s="4">
        <v>0</v>
      </c>
      <c r="E8" s="4">
        <f t="shared" si="0"/>
        <v>15</v>
      </c>
      <c r="F8" s="5">
        <f t="shared" si="1"/>
        <v>100</v>
      </c>
      <c r="G8" s="4">
        <v>5</v>
      </c>
      <c r="H8" s="4">
        <v>0</v>
      </c>
      <c r="I8" s="4">
        <v>0</v>
      </c>
      <c r="J8" s="4">
        <v>3</v>
      </c>
      <c r="K8" s="5">
        <f>3/5*100</f>
        <v>60</v>
      </c>
      <c r="L8" s="4">
        <v>4</v>
      </c>
      <c r="M8" s="5">
        <f>4/5*100</f>
        <v>80</v>
      </c>
      <c r="N8" s="4">
        <v>2</v>
      </c>
      <c r="O8" s="4">
        <v>2</v>
      </c>
      <c r="P8" s="5">
        <f>2/5*100</f>
        <v>40</v>
      </c>
      <c r="Q8" s="4">
        <v>1</v>
      </c>
      <c r="R8" s="4">
        <v>2</v>
      </c>
      <c r="S8" s="5">
        <f>2/5*100</f>
        <v>40</v>
      </c>
      <c r="T8" s="4">
        <v>2</v>
      </c>
    </row>
    <row r="9" spans="1:20" x14ac:dyDescent="0.25">
      <c r="A9" s="6" t="s">
        <v>23</v>
      </c>
      <c r="B9" s="7" t="s">
        <v>24</v>
      </c>
      <c r="C9" s="7">
        <v>87</v>
      </c>
      <c r="D9" s="7">
        <v>2</v>
      </c>
      <c r="E9" s="7">
        <f t="shared" si="0"/>
        <v>89</v>
      </c>
      <c r="F9" s="8">
        <f t="shared" si="1"/>
        <v>97.752808988764045</v>
      </c>
      <c r="G9" s="7">
        <v>12</v>
      </c>
      <c r="H9" s="7">
        <v>0</v>
      </c>
      <c r="I9" s="7">
        <v>0</v>
      </c>
      <c r="J9" s="7">
        <v>4</v>
      </c>
      <c r="K9" s="8">
        <f>4/12*100</f>
        <v>33.333333333333329</v>
      </c>
      <c r="L9" s="7">
        <v>10</v>
      </c>
      <c r="M9" s="8">
        <f>10/12*100</f>
        <v>83.333333333333343</v>
      </c>
      <c r="N9" s="7">
        <v>3</v>
      </c>
      <c r="O9" s="7">
        <v>5</v>
      </c>
      <c r="P9" s="8">
        <f>5/12*100</f>
        <v>41.666666666666671</v>
      </c>
      <c r="Q9" s="7">
        <v>3</v>
      </c>
      <c r="R9" s="7">
        <v>2</v>
      </c>
      <c r="S9" s="8">
        <f>2/12*100</f>
        <v>16.666666666666664</v>
      </c>
      <c r="T9" s="7">
        <v>2</v>
      </c>
    </row>
    <row r="10" spans="1:20" x14ac:dyDescent="0.25">
      <c r="A10" s="1"/>
      <c r="B10" s="7" t="s">
        <v>25</v>
      </c>
      <c r="C10" s="7">
        <v>1</v>
      </c>
      <c r="D10" s="7">
        <v>1</v>
      </c>
      <c r="E10" s="7">
        <f t="shared" si="0"/>
        <v>2</v>
      </c>
      <c r="F10" s="8">
        <f t="shared" si="1"/>
        <v>50</v>
      </c>
      <c r="G10" s="7">
        <v>1</v>
      </c>
      <c r="H10" s="7">
        <v>0</v>
      </c>
      <c r="I10" s="7">
        <v>0</v>
      </c>
      <c r="J10" s="7">
        <v>1</v>
      </c>
      <c r="K10" s="8">
        <v>100</v>
      </c>
      <c r="L10" s="7">
        <v>0</v>
      </c>
      <c r="M10" s="8">
        <v>0</v>
      </c>
      <c r="N10" s="7">
        <v>0</v>
      </c>
      <c r="O10" s="7">
        <v>0</v>
      </c>
      <c r="P10" s="8">
        <v>0</v>
      </c>
      <c r="Q10" s="7">
        <v>0</v>
      </c>
      <c r="R10" s="7">
        <v>0</v>
      </c>
      <c r="S10" s="8">
        <v>0</v>
      </c>
      <c r="T10" s="7">
        <v>0</v>
      </c>
    </row>
    <row r="11" spans="1:20" x14ac:dyDescent="0.25">
      <c r="A11" s="9" t="s">
        <v>26</v>
      </c>
      <c r="B11" s="10" t="s">
        <v>27</v>
      </c>
      <c r="C11" s="10">
        <v>4</v>
      </c>
      <c r="D11" s="10">
        <v>1</v>
      </c>
      <c r="E11" s="10">
        <f t="shared" si="0"/>
        <v>5</v>
      </c>
      <c r="F11" s="11">
        <f t="shared" si="1"/>
        <v>80</v>
      </c>
      <c r="G11" s="10">
        <v>1</v>
      </c>
      <c r="H11" s="10">
        <v>0</v>
      </c>
      <c r="I11" s="10">
        <v>0</v>
      </c>
      <c r="J11" s="10">
        <v>0</v>
      </c>
      <c r="K11" s="11">
        <v>0</v>
      </c>
      <c r="L11" s="10">
        <v>1</v>
      </c>
      <c r="M11" s="11">
        <v>100</v>
      </c>
      <c r="N11" s="10">
        <v>1</v>
      </c>
      <c r="O11" s="10">
        <v>1</v>
      </c>
      <c r="P11" s="11">
        <v>100</v>
      </c>
      <c r="Q11" s="10">
        <v>1</v>
      </c>
      <c r="R11" s="10">
        <v>1</v>
      </c>
      <c r="S11" s="11">
        <v>100</v>
      </c>
      <c r="T11" s="10">
        <v>1</v>
      </c>
    </row>
    <row r="12" spans="1:20" x14ac:dyDescent="0.25">
      <c r="A12" s="12" t="s">
        <v>28</v>
      </c>
      <c r="B12" s="13" t="s">
        <v>29</v>
      </c>
      <c r="C12" s="13">
        <v>245</v>
      </c>
      <c r="D12" s="13">
        <v>32</v>
      </c>
      <c r="E12" s="13">
        <f t="shared" si="0"/>
        <v>277</v>
      </c>
      <c r="F12" s="14">
        <f t="shared" si="1"/>
        <v>88.447653429602894</v>
      </c>
      <c r="G12" s="13">
        <v>86</v>
      </c>
      <c r="H12" s="13">
        <v>2</v>
      </c>
      <c r="I12" s="13">
        <v>2</v>
      </c>
      <c r="J12" s="13">
        <v>47</v>
      </c>
      <c r="K12" s="14">
        <f>47/86*100</f>
        <v>54.651162790697668</v>
      </c>
      <c r="L12" s="13">
        <v>86</v>
      </c>
      <c r="M12" s="14">
        <v>100</v>
      </c>
      <c r="N12" s="13">
        <v>24</v>
      </c>
      <c r="O12" s="13">
        <v>26</v>
      </c>
      <c r="P12" s="14">
        <f>26/86*100</f>
        <v>30.232558139534881</v>
      </c>
      <c r="Q12" s="13">
        <v>21</v>
      </c>
      <c r="R12" s="13">
        <v>16</v>
      </c>
      <c r="S12" s="14">
        <f>16/86*100</f>
        <v>18.604651162790699</v>
      </c>
      <c r="T12" s="13">
        <v>16</v>
      </c>
    </row>
    <row r="13" spans="1:20" x14ac:dyDescent="0.25">
      <c r="A13" s="1"/>
      <c r="B13" s="13" t="s">
        <v>30</v>
      </c>
      <c r="C13" s="13">
        <v>6004</v>
      </c>
      <c r="D13" s="13">
        <v>138</v>
      </c>
      <c r="E13" s="13">
        <f t="shared" si="0"/>
        <v>6142</v>
      </c>
      <c r="F13" s="14">
        <f t="shared" si="1"/>
        <v>97.753174861608599</v>
      </c>
      <c r="G13" s="13">
        <v>530</v>
      </c>
      <c r="H13" s="13">
        <v>6</v>
      </c>
      <c r="I13" s="13">
        <v>6</v>
      </c>
      <c r="J13" s="13">
        <v>216</v>
      </c>
      <c r="K13" s="14">
        <f>216/530*100</f>
        <v>40.754716981132077</v>
      </c>
      <c r="L13" s="13">
        <v>529</v>
      </c>
      <c r="M13" s="14">
        <f>529/530*100</f>
        <v>99.811320754716988</v>
      </c>
      <c r="N13" s="13">
        <v>38</v>
      </c>
      <c r="O13" s="13">
        <v>172</v>
      </c>
      <c r="P13" s="14">
        <f>172/532*100</f>
        <v>32.330827067669169</v>
      </c>
      <c r="Q13" s="13">
        <v>103</v>
      </c>
      <c r="R13" s="13">
        <v>65</v>
      </c>
      <c r="S13" s="14">
        <f>65/532*100</f>
        <v>12.218045112781954</v>
      </c>
      <c r="T13" s="13">
        <v>64</v>
      </c>
    </row>
    <row r="14" spans="1:20" x14ac:dyDescent="0.25">
      <c r="A14" s="1"/>
      <c r="B14" s="13" t="s">
        <v>31</v>
      </c>
      <c r="C14" s="13">
        <v>887</v>
      </c>
      <c r="D14" s="13">
        <v>109</v>
      </c>
      <c r="E14" s="13">
        <f t="shared" si="0"/>
        <v>996</v>
      </c>
      <c r="F14" s="14">
        <f t="shared" si="1"/>
        <v>89.056224899598391</v>
      </c>
      <c r="G14" s="13">
        <v>122</v>
      </c>
      <c r="H14" s="13">
        <v>0</v>
      </c>
      <c r="I14" s="13">
        <v>0</v>
      </c>
      <c r="J14" s="13">
        <v>52</v>
      </c>
      <c r="K14" s="14">
        <f>52/122*100</f>
        <v>42.622950819672127</v>
      </c>
      <c r="L14" s="13">
        <v>121</v>
      </c>
      <c r="M14" s="14">
        <f>121/122*100</f>
        <v>99.180327868852459</v>
      </c>
      <c r="N14" s="13">
        <v>23</v>
      </c>
      <c r="O14" s="13">
        <v>72</v>
      </c>
      <c r="P14" s="14">
        <f>72/122*100</f>
        <v>59.016393442622949</v>
      </c>
      <c r="Q14" s="13">
        <v>51</v>
      </c>
      <c r="R14" s="13">
        <v>38</v>
      </c>
      <c r="S14" s="14">
        <f>38/122*100</f>
        <v>31.147540983606557</v>
      </c>
      <c r="T14" s="13">
        <v>33</v>
      </c>
    </row>
    <row r="15" spans="1:20" x14ac:dyDescent="0.25">
      <c r="A15" s="1"/>
      <c r="B15" s="13" t="s">
        <v>32</v>
      </c>
      <c r="C15" s="13">
        <v>1420</v>
      </c>
      <c r="D15" s="13">
        <v>127</v>
      </c>
      <c r="E15" s="13">
        <f t="shared" si="0"/>
        <v>1547</v>
      </c>
      <c r="F15" s="14">
        <f t="shared" si="1"/>
        <v>91.790562378797674</v>
      </c>
      <c r="G15" s="13">
        <v>490</v>
      </c>
      <c r="H15" s="13">
        <v>8</v>
      </c>
      <c r="I15" s="13">
        <v>14</v>
      </c>
      <c r="J15" s="13">
        <v>283</v>
      </c>
      <c r="K15" s="14">
        <f>283/490*100</f>
        <v>57.755102040816332</v>
      </c>
      <c r="L15" s="13">
        <v>478</v>
      </c>
      <c r="M15" s="14">
        <f>478/490*100</f>
        <v>97.551020408163268</v>
      </c>
      <c r="N15" s="13">
        <v>39</v>
      </c>
      <c r="O15" s="13">
        <v>153</v>
      </c>
      <c r="P15" s="14">
        <f>153/490*100</f>
        <v>31.22448979591837</v>
      </c>
      <c r="Q15" s="13">
        <v>89</v>
      </c>
      <c r="R15" s="13">
        <v>37</v>
      </c>
      <c r="S15" s="14">
        <f>37/490*100</f>
        <v>7.5510204081632653</v>
      </c>
      <c r="T15" s="13">
        <v>37</v>
      </c>
    </row>
    <row r="16" spans="1:20" x14ac:dyDescent="0.25">
      <c r="A16" s="1"/>
      <c r="B16" s="13" t="s">
        <v>33</v>
      </c>
      <c r="C16" s="13">
        <v>129</v>
      </c>
      <c r="D16" s="13">
        <v>26</v>
      </c>
      <c r="E16" s="13">
        <f t="shared" si="0"/>
        <v>155</v>
      </c>
      <c r="F16" s="14">
        <f t="shared" si="1"/>
        <v>83.225806451612911</v>
      </c>
      <c r="G16" s="13">
        <v>48</v>
      </c>
      <c r="H16" s="13">
        <v>0</v>
      </c>
      <c r="I16" s="13">
        <v>0</v>
      </c>
      <c r="J16" s="13">
        <v>25</v>
      </c>
      <c r="K16" s="14">
        <f>25/48*100</f>
        <v>52.083333333333336</v>
      </c>
      <c r="L16" s="13">
        <v>42</v>
      </c>
      <c r="M16" s="14">
        <f>42/48*100</f>
        <v>87.5</v>
      </c>
      <c r="N16" s="13">
        <v>14</v>
      </c>
      <c r="O16" s="13">
        <v>28</v>
      </c>
      <c r="P16" s="14">
        <f>28/48*100</f>
        <v>58.333333333333336</v>
      </c>
      <c r="Q16" s="13">
        <v>25</v>
      </c>
      <c r="R16" s="13">
        <v>15</v>
      </c>
      <c r="S16" s="13">
        <f>15/48*100</f>
        <v>31.25</v>
      </c>
      <c r="T16" s="13">
        <v>15</v>
      </c>
    </row>
    <row r="17" spans="1:20" x14ac:dyDescent="0.25">
      <c r="A17" s="1"/>
      <c r="B17" s="13" t="s">
        <v>34</v>
      </c>
      <c r="C17" s="13">
        <v>1</v>
      </c>
      <c r="D17" s="13">
        <v>0</v>
      </c>
      <c r="E17" s="13">
        <f t="shared" si="0"/>
        <v>1</v>
      </c>
      <c r="F17" s="14">
        <f t="shared" si="1"/>
        <v>100</v>
      </c>
      <c r="G17" s="13">
        <v>1</v>
      </c>
      <c r="H17" s="13">
        <v>0</v>
      </c>
      <c r="I17" s="13">
        <v>0</v>
      </c>
      <c r="J17" s="13">
        <v>1</v>
      </c>
      <c r="K17" s="14">
        <v>100</v>
      </c>
      <c r="L17" s="13">
        <v>1</v>
      </c>
      <c r="M17" s="14">
        <v>100</v>
      </c>
      <c r="N17" s="13">
        <v>1</v>
      </c>
      <c r="O17" s="13">
        <v>1</v>
      </c>
      <c r="P17" s="14">
        <v>100</v>
      </c>
      <c r="Q17" s="13">
        <v>1</v>
      </c>
      <c r="R17" s="13">
        <v>0</v>
      </c>
      <c r="S17" s="14">
        <v>0</v>
      </c>
      <c r="T17" s="13">
        <v>0</v>
      </c>
    </row>
    <row r="18" spans="1:20" x14ac:dyDescent="0.25">
      <c r="A18" s="1"/>
      <c r="B18" s="13" t="s">
        <v>35</v>
      </c>
      <c r="C18" s="13">
        <v>5</v>
      </c>
      <c r="D18" s="13">
        <v>0</v>
      </c>
      <c r="E18" s="13">
        <f t="shared" si="0"/>
        <v>5</v>
      </c>
      <c r="F18" s="14">
        <f t="shared" si="1"/>
        <v>100</v>
      </c>
      <c r="G18" s="13">
        <v>2</v>
      </c>
      <c r="H18" s="13">
        <v>0</v>
      </c>
      <c r="I18" s="13">
        <v>0</v>
      </c>
      <c r="J18" s="13">
        <v>1</v>
      </c>
      <c r="K18" s="14">
        <v>50</v>
      </c>
      <c r="L18" s="13">
        <v>2</v>
      </c>
      <c r="M18" s="14">
        <v>100</v>
      </c>
      <c r="N18" s="13">
        <v>1</v>
      </c>
      <c r="O18" s="13">
        <v>1</v>
      </c>
      <c r="P18" s="14">
        <v>50</v>
      </c>
      <c r="Q18" s="13">
        <v>1</v>
      </c>
      <c r="R18" s="13">
        <v>1</v>
      </c>
      <c r="S18" s="14">
        <v>0</v>
      </c>
      <c r="T18" s="13">
        <v>1</v>
      </c>
    </row>
    <row r="19" spans="1:20" x14ac:dyDescent="0.25">
      <c r="A19" s="1"/>
      <c r="B19" s="13" t="s">
        <v>36</v>
      </c>
      <c r="C19" s="13">
        <v>5</v>
      </c>
      <c r="D19" s="13">
        <v>1</v>
      </c>
      <c r="E19" s="13">
        <f t="shared" si="0"/>
        <v>6</v>
      </c>
      <c r="F19" s="14">
        <f t="shared" si="1"/>
        <v>83.333333333333343</v>
      </c>
      <c r="G19" s="13">
        <v>3</v>
      </c>
      <c r="H19" s="13">
        <v>1</v>
      </c>
      <c r="I19" s="13">
        <v>1</v>
      </c>
      <c r="J19" s="13">
        <v>2</v>
      </c>
      <c r="K19" s="14">
        <f>2/3*100</f>
        <v>66.666666666666657</v>
      </c>
      <c r="L19" s="13">
        <v>3</v>
      </c>
      <c r="M19" s="14">
        <v>100</v>
      </c>
      <c r="N19" s="13">
        <v>3</v>
      </c>
      <c r="O19" s="13">
        <v>2</v>
      </c>
      <c r="P19" s="14">
        <f>2/3*100</f>
        <v>66.666666666666657</v>
      </c>
      <c r="Q19" s="13">
        <v>2</v>
      </c>
      <c r="R19" s="13">
        <v>2</v>
      </c>
      <c r="S19" s="14">
        <f>2/3*100</f>
        <v>66.666666666666657</v>
      </c>
      <c r="T19" s="13">
        <v>2</v>
      </c>
    </row>
    <row r="20" spans="1:20" x14ac:dyDescent="0.25">
      <c r="A20" s="1"/>
      <c r="B20" s="13" t="s">
        <v>37</v>
      </c>
      <c r="C20" s="13">
        <v>30</v>
      </c>
      <c r="D20" s="13">
        <v>4</v>
      </c>
      <c r="E20" s="13">
        <f t="shared" si="0"/>
        <v>34</v>
      </c>
      <c r="F20" s="14">
        <f t="shared" si="1"/>
        <v>88.235294117647058</v>
      </c>
      <c r="G20" s="13">
        <v>9</v>
      </c>
      <c r="H20" s="13">
        <v>0</v>
      </c>
      <c r="I20" s="13">
        <v>0</v>
      </c>
      <c r="J20" s="13">
        <v>4</v>
      </c>
      <c r="K20" s="14">
        <f>4/9*100</f>
        <v>44.444444444444443</v>
      </c>
      <c r="L20" s="13">
        <v>7</v>
      </c>
      <c r="M20" s="14">
        <f>7/9*100</f>
        <v>77.777777777777786</v>
      </c>
      <c r="N20" s="13">
        <v>4</v>
      </c>
      <c r="O20" s="13">
        <v>3</v>
      </c>
      <c r="P20" s="14">
        <f>3/9*100</f>
        <v>33.333333333333329</v>
      </c>
      <c r="Q20" s="13">
        <v>2</v>
      </c>
      <c r="R20" s="13">
        <v>2</v>
      </c>
      <c r="S20" s="14">
        <f>2/9*100</f>
        <v>22.222222222222221</v>
      </c>
      <c r="T20" s="13">
        <v>1</v>
      </c>
    </row>
    <row r="21" spans="1:20" x14ac:dyDescent="0.25">
      <c r="A21" s="1"/>
      <c r="B21" s="13" t="s">
        <v>38</v>
      </c>
      <c r="C21" s="13">
        <v>81</v>
      </c>
      <c r="D21" s="13">
        <v>11</v>
      </c>
      <c r="E21" s="13">
        <f t="shared" si="0"/>
        <v>92</v>
      </c>
      <c r="F21" s="14">
        <f t="shared" si="1"/>
        <v>88.043478260869563</v>
      </c>
      <c r="G21" s="13">
        <v>24</v>
      </c>
      <c r="H21" s="13">
        <v>0</v>
      </c>
      <c r="I21" s="13">
        <v>0</v>
      </c>
      <c r="J21" s="13">
        <v>10</v>
      </c>
      <c r="K21" s="14">
        <f>10/24*100</f>
        <v>41.666666666666671</v>
      </c>
      <c r="L21" s="13">
        <v>24</v>
      </c>
      <c r="M21" s="14">
        <f>24/24*100</f>
        <v>100</v>
      </c>
      <c r="N21" s="13">
        <v>2</v>
      </c>
      <c r="O21" s="13">
        <v>17</v>
      </c>
      <c r="P21" s="14">
        <f>17/24*100</f>
        <v>70.833333333333343</v>
      </c>
      <c r="Q21" s="13">
        <v>11</v>
      </c>
      <c r="R21" s="13">
        <v>10</v>
      </c>
      <c r="S21" s="14">
        <f>10/24*100</f>
        <v>41.666666666666671</v>
      </c>
      <c r="T21" s="13">
        <v>10</v>
      </c>
    </row>
    <row r="22" spans="1:20" x14ac:dyDescent="0.25">
      <c r="A22" s="1"/>
      <c r="B22" s="15" t="s">
        <v>39</v>
      </c>
      <c r="C22" s="15">
        <f>SUM(C5:C21)</f>
        <v>8974</v>
      </c>
      <c r="D22" s="15">
        <f>SUM(D5:D21)</f>
        <v>476</v>
      </c>
      <c r="E22" s="15">
        <f t="shared" si="0"/>
        <v>9450</v>
      </c>
      <c r="F22" s="16">
        <f t="shared" si="1"/>
        <v>94.962962962962962</v>
      </c>
      <c r="G22" s="15">
        <f>SUM(G5:G21)</f>
        <v>1361</v>
      </c>
      <c r="H22" s="15">
        <v>18</v>
      </c>
      <c r="I22" s="15"/>
      <c r="J22" s="15">
        <f>SUM(J5:J21)</f>
        <v>662</v>
      </c>
      <c r="K22" s="16">
        <f>662/1361*100</f>
        <v>48.640705363703155</v>
      </c>
      <c r="L22" s="15">
        <f>SUM(L5:L21)</f>
        <v>1329</v>
      </c>
      <c r="M22" s="16">
        <f>1329/1361*100</f>
        <v>97.648787656135198</v>
      </c>
      <c r="N22" s="15">
        <f>SUM(N5:N21)</f>
        <v>170</v>
      </c>
      <c r="O22" s="15">
        <f>SUM(O5:O21)</f>
        <v>499</v>
      </c>
      <c r="P22" s="16">
        <f>499/1361*100</f>
        <v>36.664217487141812</v>
      </c>
      <c r="Q22" s="15">
        <f>SUM(Q5:Q21)</f>
        <v>324</v>
      </c>
      <c r="R22" s="15">
        <f>SUM(R5:R21)</f>
        <v>198</v>
      </c>
      <c r="S22" s="16">
        <f>198/1361*100</f>
        <v>14.548126377663484</v>
      </c>
      <c r="T22" s="15">
        <f>SUM(T5:T21)</f>
        <v>191</v>
      </c>
    </row>
    <row r="23" spans="1:20" x14ac:dyDescent="0.25">
      <c r="A23" s="1"/>
      <c r="B23" s="1"/>
      <c r="C23" s="1"/>
      <c r="D23" s="17" t="s">
        <v>40</v>
      </c>
      <c r="E23" s="1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"/>
    </row>
  </sheetData>
  <mergeCells count="1">
    <mergeCell ref="C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</dc:creator>
  <cp:lastModifiedBy>Khushi</cp:lastModifiedBy>
  <dcterms:created xsi:type="dcterms:W3CDTF">2023-12-07T12:49:14Z</dcterms:created>
  <dcterms:modified xsi:type="dcterms:W3CDTF">2023-12-07T13:00:19Z</dcterms:modified>
</cp:coreProperties>
</file>