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\Paper purblication\투고논문\SCI(E)\2. In review\방금휘\교열완료본\PEERJ\"/>
    </mc:Choice>
  </mc:AlternateContent>
  <xr:revisionPtr revIDLastSave="0" documentId="8_{B3329553-212C-48C2-B20E-0290331CEDA8}" xr6:coauthVersionLast="47" xr6:coauthVersionMax="47" xr10:uidLastSave="{00000000-0000-0000-0000-000000000000}"/>
  <bookViews>
    <workbookView xWindow="-90" yWindow="0" windowWidth="19380" windowHeight="20970" xr2:uid="{A97B82DE-0E37-4D4D-94DA-747F4BAD02F8}"/>
  </bookViews>
  <sheets>
    <sheet name="0. Abbreviation" sheetId="8" r:id="rId1"/>
    <sheet name="1. Rumen Fluid" sheetId="2" r:id="rId2"/>
    <sheet name="2. CH4 prodt." sheetId="1" r:id="rId3"/>
    <sheet name="3. Intakes and Energy balnace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07" i="7" l="1"/>
  <c r="R107" i="7"/>
  <c r="T107" i="7"/>
  <c r="V107" i="7"/>
  <c r="P108" i="7"/>
  <c r="R108" i="7"/>
  <c r="T108" i="7"/>
  <c r="V108" i="7"/>
  <c r="P109" i="7"/>
  <c r="R109" i="7"/>
  <c r="T109" i="7"/>
  <c r="V109" i="7"/>
  <c r="Q152" i="7"/>
  <c r="R152" i="7"/>
  <c r="S152" i="7"/>
  <c r="T152" i="7"/>
  <c r="Q153" i="7"/>
  <c r="R153" i="7"/>
  <c r="S153" i="7"/>
  <c r="T153" i="7"/>
  <c r="Q154" i="7"/>
  <c r="R154" i="7"/>
  <c r="S154" i="7"/>
  <c r="T154" i="7"/>
  <c r="Q155" i="7"/>
  <c r="R155" i="7"/>
  <c r="S155" i="7"/>
  <c r="T155" i="7"/>
  <c r="Q156" i="7"/>
  <c r="R156" i="7"/>
  <c r="S156" i="7"/>
  <c r="T156" i="7"/>
  <c r="Q157" i="7"/>
  <c r="R157" i="7"/>
  <c r="S157" i="7"/>
  <c r="T157" i="7"/>
  <c r="Q159" i="7"/>
  <c r="R159" i="7"/>
  <c r="S159" i="7"/>
  <c r="T159" i="7"/>
  <c r="Q160" i="7"/>
  <c r="R160" i="7"/>
  <c r="S160" i="7"/>
  <c r="T160" i="7"/>
  <c r="Q161" i="7"/>
  <c r="R161" i="7"/>
  <c r="S161" i="7"/>
  <c r="T161" i="7"/>
  <c r="Q162" i="7"/>
  <c r="R162" i="7"/>
  <c r="S162" i="7"/>
  <c r="T162" i="7"/>
  <c r="Q163" i="7"/>
  <c r="R163" i="7"/>
  <c r="S163" i="7"/>
  <c r="T163" i="7"/>
  <c r="Q164" i="7"/>
  <c r="R164" i="7"/>
  <c r="S164" i="7"/>
  <c r="T164" i="7"/>
  <c r="Q166" i="7"/>
  <c r="R166" i="7"/>
  <c r="S166" i="7"/>
  <c r="T166" i="7"/>
  <c r="Q167" i="7"/>
  <c r="R167" i="7"/>
  <c r="S167" i="7"/>
  <c r="T167" i="7"/>
  <c r="Q168" i="7"/>
  <c r="R168" i="7"/>
  <c r="S168" i="7"/>
  <c r="T168" i="7"/>
  <c r="Q169" i="7"/>
  <c r="R169" i="7"/>
  <c r="S169" i="7"/>
  <c r="T169" i="7"/>
  <c r="Q170" i="7"/>
  <c r="R170" i="7"/>
  <c r="S170" i="7"/>
  <c r="T170" i="7"/>
  <c r="Q171" i="7"/>
  <c r="R171" i="7"/>
  <c r="S171" i="7"/>
  <c r="T171" i="7"/>
  <c r="E5" i="7"/>
  <c r="F5" i="7" s="1"/>
  <c r="G5" i="7"/>
  <c r="H5" i="7"/>
  <c r="I5" i="7"/>
  <c r="K5" i="7"/>
  <c r="N5" i="7"/>
  <c r="E6" i="7"/>
  <c r="F6" i="7"/>
  <c r="G6" i="7"/>
  <c r="G15" i="7" s="1"/>
  <c r="H6" i="7"/>
  <c r="K6" i="7" s="1"/>
  <c r="I6" i="7"/>
  <c r="I15" i="7" s="1"/>
  <c r="N6" i="7"/>
  <c r="N15" i="7" s="1"/>
  <c r="E7" i="7"/>
  <c r="F7" i="7"/>
  <c r="H227" i="7" s="1"/>
  <c r="G7" i="7"/>
  <c r="I7" i="7" s="1"/>
  <c r="H7" i="7"/>
  <c r="K7" i="7"/>
  <c r="N7" i="7"/>
  <c r="E10" i="7"/>
  <c r="F10" i="7" s="1"/>
  <c r="H10" i="7"/>
  <c r="I10" i="7"/>
  <c r="K10" i="7"/>
  <c r="N10" i="7"/>
  <c r="E11" i="7"/>
  <c r="H11" i="7"/>
  <c r="I11" i="7" s="1"/>
  <c r="K11" i="7"/>
  <c r="N11" i="7"/>
  <c r="E12" i="7"/>
  <c r="F12" i="7"/>
  <c r="H12" i="7"/>
  <c r="K12" i="7" s="1"/>
  <c r="I12" i="7"/>
  <c r="N12" i="7"/>
  <c r="C15" i="7"/>
  <c r="D15" i="7"/>
  <c r="M15" i="7"/>
  <c r="O15" i="7"/>
  <c r="P15" i="7"/>
  <c r="Q15" i="7"/>
  <c r="S15" i="7"/>
  <c r="E19" i="7"/>
  <c r="F19" i="7"/>
  <c r="I19" i="7"/>
  <c r="K19" i="7"/>
  <c r="N19" i="7"/>
  <c r="E20" i="7"/>
  <c r="F20" i="7"/>
  <c r="G233" i="7" s="1"/>
  <c r="I20" i="7"/>
  <c r="K20" i="7"/>
  <c r="N20" i="7"/>
  <c r="E21" i="7"/>
  <c r="F21" i="7"/>
  <c r="I21" i="7"/>
  <c r="J21" i="7"/>
  <c r="K21" i="7"/>
  <c r="E112" i="7" s="1"/>
  <c r="L21" i="7"/>
  <c r="C112" i="7" s="1"/>
  <c r="N21" i="7"/>
  <c r="E22" i="7"/>
  <c r="F22" i="7" s="1"/>
  <c r="I22" i="7"/>
  <c r="K22" i="7"/>
  <c r="N22" i="7"/>
  <c r="E23" i="7"/>
  <c r="F23" i="7"/>
  <c r="I23" i="7"/>
  <c r="K23" i="7"/>
  <c r="N23" i="7"/>
  <c r="E24" i="7"/>
  <c r="F24" i="7" s="1"/>
  <c r="F188" i="7" s="1"/>
  <c r="I24" i="7"/>
  <c r="J24" i="7"/>
  <c r="K24" i="7"/>
  <c r="N24" i="7"/>
  <c r="C25" i="7"/>
  <c r="D25" i="7"/>
  <c r="G25" i="7"/>
  <c r="H25" i="7"/>
  <c r="M25" i="7"/>
  <c r="O25" i="7"/>
  <c r="P25" i="7"/>
  <c r="Q25" i="7"/>
  <c r="E28" i="7"/>
  <c r="F28" i="7" s="1"/>
  <c r="I28" i="7"/>
  <c r="K28" i="7"/>
  <c r="N28" i="7"/>
  <c r="E29" i="7"/>
  <c r="F29" i="7" s="1"/>
  <c r="G240" i="7" s="1"/>
  <c r="I29" i="7"/>
  <c r="K29" i="7"/>
  <c r="N29" i="7"/>
  <c r="E30" i="7"/>
  <c r="F30" i="7"/>
  <c r="G241" i="7" s="1"/>
  <c r="I30" i="7"/>
  <c r="J30" i="7"/>
  <c r="K30" i="7"/>
  <c r="N30" i="7"/>
  <c r="N34" i="7" s="1"/>
  <c r="E31" i="7"/>
  <c r="E34" i="7" s="1"/>
  <c r="I31" i="7"/>
  <c r="K31" i="7"/>
  <c r="N31" i="7"/>
  <c r="E32" i="7"/>
  <c r="F32" i="7" s="1"/>
  <c r="F194" i="7" s="1"/>
  <c r="I32" i="7"/>
  <c r="K32" i="7"/>
  <c r="N32" i="7"/>
  <c r="E33" i="7"/>
  <c r="F33" i="7"/>
  <c r="F195" i="7" s="1"/>
  <c r="I33" i="7"/>
  <c r="J33" i="7"/>
  <c r="L33" i="7" s="1"/>
  <c r="C122" i="7" s="1"/>
  <c r="K33" i="7"/>
  <c r="N33" i="7"/>
  <c r="C34" i="7"/>
  <c r="D34" i="7"/>
  <c r="G34" i="7"/>
  <c r="H34" i="7"/>
  <c r="M34" i="7"/>
  <c r="O34" i="7"/>
  <c r="P34" i="7"/>
  <c r="Q34" i="7"/>
  <c r="J41" i="7"/>
  <c r="F42" i="7"/>
  <c r="G42" i="7"/>
  <c r="H42" i="7"/>
  <c r="I42" i="7"/>
  <c r="J42" i="7"/>
  <c r="K42" i="7"/>
  <c r="M42" i="7"/>
  <c r="D43" i="7"/>
  <c r="J12" i="7" s="1"/>
  <c r="J43" i="7"/>
  <c r="F44" i="7"/>
  <c r="G44" i="7"/>
  <c r="H44" i="7"/>
  <c r="I44" i="7"/>
  <c r="J44" i="7"/>
  <c r="K44" i="7"/>
  <c r="M44" i="7"/>
  <c r="D45" i="7"/>
  <c r="J19" i="7" s="1"/>
  <c r="J45" i="7"/>
  <c r="F46" i="7"/>
  <c r="G46" i="7"/>
  <c r="J46" i="7" s="1"/>
  <c r="H46" i="7"/>
  <c r="I46" i="7"/>
  <c r="K46" i="7"/>
  <c r="M46" i="7"/>
  <c r="D47" i="7"/>
  <c r="J47" i="7"/>
  <c r="F48" i="7"/>
  <c r="J48" i="7" s="1"/>
  <c r="G48" i="7"/>
  <c r="H48" i="7"/>
  <c r="I48" i="7"/>
  <c r="K48" i="7"/>
  <c r="M48" i="7"/>
  <c r="I51" i="7"/>
  <c r="E52" i="7"/>
  <c r="F52" i="7"/>
  <c r="G52" i="7"/>
  <c r="H52" i="7"/>
  <c r="I52" i="7"/>
  <c r="J52" i="7"/>
  <c r="K52" i="7"/>
  <c r="L52" i="7"/>
  <c r="I53" i="7"/>
  <c r="E54" i="7"/>
  <c r="F54" i="7"/>
  <c r="G54" i="7"/>
  <c r="H54" i="7"/>
  <c r="J54" i="7"/>
  <c r="K54" i="7"/>
  <c r="L54" i="7"/>
  <c r="I55" i="7"/>
  <c r="E56" i="7"/>
  <c r="F56" i="7"/>
  <c r="I56" i="7" s="1"/>
  <c r="G56" i="7"/>
  <c r="H56" i="7"/>
  <c r="J56" i="7"/>
  <c r="K56" i="7"/>
  <c r="L56" i="7"/>
  <c r="I61" i="7"/>
  <c r="E62" i="7"/>
  <c r="F62" i="7"/>
  <c r="G62" i="7"/>
  <c r="G73" i="7" s="1"/>
  <c r="H62" i="7"/>
  <c r="H73" i="7" s="1"/>
  <c r="I62" i="7"/>
  <c r="J62" i="7"/>
  <c r="J73" i="7" s="1"/>
  <c r="L62" i="7"/>
  <c r="I63" i="7"/>
  <c r="E64" i="7"/>
  <c r="F64" i="7"/>
  <c r="G64" i="7"/>
  <c r="H64" i="7"/>
  <c r="I64" i="7"/>
  <c r="J64" i="7"/>
  <c r="L64" i="7"/>
  <c r="I65" i="7"/>
  <c r="E66" i="7"/>
  <c r="F66" i="7"/>
  <c r="G66" i="7"/>
  <c r="H130" i="7" s="1"/>
  <c r="H66" i="7"/>
  <c r="I66" i="7"/>
  <c r="J66" i="7"/>
  <c r="L66" i="7"/>
  <c r="L73" i="7" s="1"/>
  <c r="I67" i="7"/>
  <c r="I68" i="7" s="1"/>
  <c r="J131" i="7" s="1"/>
  <c r="E68" i="7"/>
  <c r="F68" i="7"/>
  <c r="G68" i="7"/>
  <c r="H68" i="7"/>
  <c r="J68" i="7"/>
  <c r="L68" i="7"/>
  <c r="I69" i="7"/>
  <c r="E70" i="7"/>
  <c r="F70" i="7"/>
  <c r="G70" i="7"/>
  <c r="H70" i="7"/>
  <c r="I70" i="7"/>
  <c r="J70" i="7"/>
  <c r="L70" i="7"/>
  <c r="I71" i="7"/>
  <c r="E72" i="7"/>
  <c r="F72" i="7"/>
  <c r="G72" i="7"/>
  <c r="H72" i="7"/>
  <c r="I72" i="7"/>
  <c r="J133" i="7" s="1"/>
  <c r="J72" i="7"/>
  <c r="L72" i="7"/>
  <c r="D73" i="7"/>
  <c r="I73" i="7"/>
  <c r="M73" i="7"/>
  <c r="N73" i="7"/>
  <c r="O73" i="7"/>
  <c r="P73" i="7"/>
  <c r="Q73" i="7"/>
  <c r="I74" i="7"/>
  <c r="E75" i="7"/>
  <c r="F75" i="7"/>
  <c r="F86" i="7" s="1"/>
  <c r="G75" i="7"/>
  <c r="H75" i="7"/>
  <c r="I75" i="7"/>
  <c r="J75" i="7"/>
  <c r="L75" i="7"/>
  <c r="I76" i="7"/>
  <c r="E77" i="7"/>
  <c r="F77" i="7"/>
  <c r="G77" i="7"/>
  <c r="H77" i="7"/>
  <c r="I77" i="7"/>
  <c r="J77" i="7"/>
  <c r="L77" i="7"/>
  <c r="L86" i="7" s="1"/>
  <c r="I78" i="7"/>
  <c r="I79" i="7" s="1"/>
  <c r="E79" i="7"/>
  <c r="F79" i="7"/>
  <c r="G79" i="7"/>
  <c r="H79" i="7"/>
  <c r="J79" i="7"/>
  <c r="J86" i="7" s="1"/>
  <c r="L79" i="7"/>
  <c r="I80" i="7"/>
  <c r="I81" i="7" s="1"/>
  <c r="E81" i="7"/>
  <c r="F81" i="7"/>
  <c r="G81" i="7"/>
  <c r="H81" i="7"/>
  <c r="J81" i="7"/>
  <c r="L81" i="7"/>
  <c r="I82" i="7"/>
  <c r="I83" i="7" s="1"/>
  <c r="J139" i="7" s="1"/>
  <c r="E83" i="7"/>
  <c r="F83" i="7"/>
  <c r="G83" i="7"/>
  <c r="H83" i="7"/>
  <c r="I139" i="7" s="1"/>
  <c r="J83" i="7"/>
  <c r="L83" i="7"/>
  <c r="I84" i="7"/>
  <c r="I85" i="7" s="1"/>
  <c r="E85" i="7"/>
  <c r="F85" i="7"/>
  <c r="G85" i="7"/>
  <c r="H85" i="7"/>
  <c r="J85" i="7"/>
  <c r="L85" i="7"/>
  <c r="D86" i="7"/>
  <c r="M86" i="7"/>
  <c r="N86" i="7"/>
  <c r="O86" i="7"/>
  <c r="I87" i="7"/>
  <c r="I88" i="7" s="1"/>
  <c r="E88" i="7"/>
  <c r="F88" i="7"/>
  <c r="G88" i="7"/>
  <c r="H88" i="7"/>
  <c r="J88" i="7"/>
  <c r="L88" i="7"/>
  <c r="I89" i="7"/>
  <c r="E90" i="7"/>
  <c r="F90" i="7"/>
  <c r="G90" i="7"/>
  <c r="H90" i="7"/>
  <c r="I143" i="7" s="1"/>
  <c r="I90" i="7"/>
  <c r="J90" i="7"/>
  <c r="L90" i="7"/>
  <c r="I91" i="7"/>
  <c r="E92" i="7"/>
  <c r="F144" i="7" s="1"/>
  <c r="E192" i="7" s="1"/>
  <c r="F92" i="7"/>
  <c r="G144" i="7" s="1"/>
  <c r="G92" i="7"/>
  <c r="H144" i="7" s="1"/>
  <c r="H92" i="7"/>
  <c r="I144" i="7" s="1"/>
  <c r="I92" i="7"/>
  <c r="J144" i="7" s="1"/>
  <c r="J92" i="7"/>
  <c r="L92" i="7"/>
  <c r="I93" i="7"/>
  <c r="I94" i="7" s="1"/>
  <c r="E94" i="7"/>
  <c r="F94" i="7"/>
  <c r="G94" i="7"/>
  <c r="H94" i="7"/>
  <c r="J94" i="7"/>
  <c r="L94" i="7"/>
  <c r="I95" i="7"/>
  <c r="E96" i="7"/>
  <c r="F96" i="7"/>
  <c r="G96" i="7"/>
  <c r="H96" i="7"/>
  <c r="I96" i="7"/>
  <c r="J96" i="7"/>
  <c r="L96" i="7"/>
  <c r="I97" i="7"/>
  <c r="I98" i="7" s="1"/>
  <c r="J147" i="7" s="1"/>
  <c r="E98" i="7"/>
  <c r="F147" i="7" s="1"/>
  <c r="F98" i="7"/>
  <c r="G147" i="7" s="1"/>
  <c r="G98" i="7"/>
  <c r="H98" i="7"/>
  <c r="I147" i="7" s="1"/>
  <c r="J98" i="7"/>
  <c r="L98" i="7"/>
  <c r="D99" i="7"/>
  <c r="M99" i="7"/>
  <c r="N99" i="7"/>
  <c r="O99" i="7"/>
  <c r="D109" i="7"/>
  <c r="I110" i="7"/>
  <c r="D116" i="7"/>
  <c r="E122" i="7"/>
  <c r="D123" i="7"/>
  <c r="M124" i="7"/>
  <c r="C128" i="7"/>
  <c r="Q128" i="7"/>
  <c r="R128" i="7"/>
  <c r="C129" i="7"/>
  <c r="H129" i="7"/>
  <c r="I129" i="7"/>
  <c r="J129" i="7"/>
  <c r="K129" i="7"/>
  <c r="M129" i="7"/>
  <c r="Q129" i="7"/>
  <c r="R129" i="7"/>
  <c r="C130" i="7"/>
  <c r="F130" i="7" s="1"/>
  <c r="K178" i="7" s="1"/>
  <c r="M178" i="7" s="1"/>
  <c r="Q130" i="7"/>
  <c r="R130" i="7"/>
  <c r="F251" i="7" s="1"/>
  <c r="C131" i="7"/>
  <c r="H131" i="7"/>
  <c r="I131" i="7"/>
  <c r="K131" i="7"/>
  <c r="M131" i="7"/>
  <c r="D203" i="7" s="1"/>
  <c r="Q131" i="7"/>
  <c r="R131" i="7"/>
  <c r="C132" i="7"/>
  <c r="F132" i="7"/>
  <c r="G132" i="7"/>
  <c r="H132" i="7"/>
  <c r="Q132" i="7"/>
  <c r="R132" i="7"/>
  <c r="F253" i="7" s="1"/>
  <c r="C133" i="7"/>
  <c r="H133" i="7" s="1"/>
  <c r="Q133" i="7"/>
  <c r="F181" i="7" s="1"/>
  <c r="R133" i="7"/>
  <c r="F205" i="7" s="1"/>
  <c r="L134" i="7"/>
  <c r="C135" i="7"/>
  <c r="G135" i="7" s="1"/>
  <c r="F135" i="7"/>
  <c r="K183" i="7" s="1"/>
  <c r="I135" i="7"/>
  <c r="J135" i="7"/>
  <c r="K135" i="7"/>
  <c r="M135" i="7"/>
  <c r="Q135" i="7"/>
  <c r="R135" i="7"/>
  <c r="C136" i="7"/>
  <c r="F136" i="7"/>
  <c r="G136" i="7"/>
  <c r="H136" i="7"/>
  <c r="Q136" i="7"/>
  <c r="R136" i="7"/>
  <c r="F208" i="7" s="1"/>
  <c r="C137" i="7"/>
  <c r="G137" i="7" s="1"/>
  <c r="F137" i="7"/>
  <c r="K185" i="7" s="1"/>
  <c r="M185" i="7" s="1"/>
  <c r="I137" i="7"/>
  <c r="J137" i="7"/>
  <c r="K137" i="7"/>
  <c r="M137" i="7"/>
  <c r="D234" i="7" s="1"/>
  <c r="Q137" i="7"/>
  <c r="F185" i="7" s="1"/>
  <c r="R137" i="7"/>
  <c r="F258" i="7" s="1"/>
  <c r="C138" i="7"/>
  <c r="C141" i="7" s="1"/>
  <c r="F138" i="7"/>
  <c r="G138" i="7"/>
  <c r="H138" i="7"/>
  <c r="Q138" i="7"/>
  <c r="R138" i="7"/>
  <c r="C139" i="7"/>
  <c r="G139" i="7" s="1"/>
  <c r="F139" i="7"/>
  <c r="K187" i="7" s="1"/>
  <c r="K139" i="7"/>
  <c r="M139" i="7"/>
  <c r="D236" i="7" s="1"/>
  <c r="Q139" i="7"/>
  <c r="R139" i="7"/>
  <c r="F211" i="7" s="1"/>
  <c r="C140" i="7"/>
  <c r="H140" i="7" s="1"/>
  <c r="Q140" i="7"/>
  <c r="R140" i="7"/>
  <c r="L141" i="7"/>
  <c r="C142" i="7"/>
  <c r="H142" i="7"/>
  <c r="I142" i="7"/>
  <c r="Q142" i="7"/>
  <c r="R142" i="7"/>
  <c r="C143" i="7"/>
  <c r="H143" i="7" s="1"/>
  <c r="F143" i="7"/>
  <c r="G143" i="7"/>
  <c r="J143" i="7"/>
  <c r="K143" i="7"/>
  <c r="M143" i="7"/>
  <c r="Q143" i="7"/>
  <c r="R143" i="7"/>
  <c r="C144" i="7"/>
  <c r="Q144" i="7"/>
  <c r="R144" i="7"/>
  <c r="C145" i="7"/>
  <c r="H145" i="7" s="1"/>
  <c r="F145" i="7"/>
  <c r="K193" i="7" s="1"/>
  <c r="M193" i="7" s="1"/>
  <c r="G145" i="7"/>
  <c r="I145" i="7"/>
  <c r="J145" i="7"/>
  <c r="K145" i="7"/>
  <c r="M145" i="7"/>
  <c r="Q145" i="7"/>
  <c r="J266" i="7" s="1"/>
  <c r="R145" i="7"/>
  <c r="C146" i="7"/>
  <c r="F146" i="7"/>
  <c r="Q146" i="7"/>
  <c r="R146" i="7"/>
  <c r="C147" i="7"/>
  <c r="K147" i="7"/>
  <c r="M147" i="7"/>
  <c r="D244" i="7" s="1"/>
  <c r="Q147" i="7"/>
  <c r="R147" i="7"/>
  <c r="C148" i="7"/>
  <c r="L148" i="7"/>
  <c r="L158" i="7"/>
  <c r="L165" i="7"/>
  <c r="L172" i="7"/>
  <c r="F176" i="7"/>
  <c r="L176" i="7"/>
  <c r="L182" i="7" s="1"/>
  <c r="E178" i="7"/>
  <c r="G178" i="7" s="1"/>
  <c r="F178" i="7"/>
  <c r="K180" i="7"/>
  <c r="M180" i="7"/>
  <c r="E184" i="7"/>
  <c r="F184" i="7"/>
  <c r="G184" i="7"/>
  <c r="K184" i="7"/>
  <c r="M184" i="7" s="1"/>
  <c r="E187" i="7"/>
  <c r="M187" i="7"/>
  <c r="L189" i="7"/>
  <c r="F190" i="7"/>
  <c r="L196" i="7"/>
  <c r="F200" i="7"/>
  <c r="G200" i="7"/>
  <c r="G201" i="7"/>
  <c r="F202" i="7"/>
  <c r="G202" i="7"/>
  <c r="G203" i="7"/>
  <c r="F204" i="7"/>
  <c r="G204" i="7"/>
  <c r="I204" i="7"/>
  <c r="G205" i="7"/>
  <c r="G206" i="7"/>
  <c r="F207" i="7"/>
  <c r="G207" i="7"/>
  <c r="G208" i="7"/>
  <c r="I208" i="7"/>
  <c r="D209" i="7"/>
  <c r="G209" i="7"/>
  <c r="F210" i="7"/>
  <c r="G210" i="7"/>
  <c r="D211" i="7"/>
  <c r="G211" i="7"/>
  <c r="F212" i="7"/>
  <c r="G212" i="7"/>
  <c r="F214" i="7"/>
  <c r="G214" i="7"/>
  <c r="F215" i="7"/>
  <c r="G215" i="7"/>
  <c r="F216" i="7"/>
  <c r="G216" i="7"/>
  <c r="G217" i="7"/>
  <c r="F218" i="7"/>
  <c r="G218" i="7"/>
  <c r="I218" i="7"/>
  <c r="G219" i="7"/>
  <c r="G220" i="7"/>
  <c r="G225" i="7"/>
  <c r="H225" i="7"/>
  <c r="J225" i="7"/>
  <c r="G230" i="7"/>
  <c r="J233" i="7"/>
  <c r="H234" i="7"/>
  <c r="H237" i="7"/>
  <c r="H240" i="7"/>
  <c r="G243" i="7"/>
  <c r="J243" i="7"/>
  <c r="F249" i="7"/>
  <c r="H249" i="7"/>
  <c r="J249" i="7"/>
  <c r="I200" i="7" s="1"/>
  <c r="F250" i="7"/>
  <c r="H250" i="7"/>
  <c r="H251" i="7"/>
  <c r="J251" i="7"/>
  <c r="F252" i="7"/>
  <c r="H252" i="7"/>
  <c r="H253" i="7"/>
  <c r="J253" i="7"/>
  <c r="F254" i="7"/>
  <c r="H254" i="7"/>
  <c r="H230" i="7" s="1"/>
  <c r="J254" i="7"/>
  <c r="I205" i="7" s="1"/>
  <c r="F256" i="7"/>
  <c r="H256" i="7"/>
  <c r="H232" i="7" s="1"/>
  <c r="F257" i="7"/>
  <c r="H257" i="7"/>
  <c r="H233" i="7" s="1"/>
  <c r="J257" i="7"/>
  <c r="H258" i="7"/>
  <c r="F259" i="7"/>
  <c r="H259" i="7"/>
  <c r="J259" i="7"/>
  <c r="D260" i="7"/>
  <c r="H260" i="7"/>
  <c r="H236" i="7" s="1"/>
  <c r="F261" i="7"/>
  <c r="H261" i="7"/>
  <c r="J261" i="7"/>
  <c r="F263" i="7"/>
  <c r="H263" i="7"/>
  <c r="H269" i="7" s="1"/>
  <c r="J263" i="7"/>
  <c r="I214" i="7" s="1"/>
  <c r="D264" i="7"/>
  <c r="F264" i="7"/>
  <c r="H264" i="7"/>
  <c r="F265" i="7"/>
  <c r="H265" i="7"/>
  <c r="J265" i="7"/>
  <c r="I216" i="7" s="1"/>
  <c r="H266" i="7"/>
  <c r="F267" i="7"/>
  <c r="H267" i="7"/>
  <c r="J267" i="7"/>
  <c r="H268" i="7"/>
  <c r="H244" i="7" s="1"/>
  <c r="J268" i="7"/>
  <c r="I219" i="7" s="1"/>
  <c r="G235" i="7" l="1"/>
  <c r="F186" i="7"/>
  <c r="C171" i="7"/>
  <c r="C195" i="7"/>
  <c r="H108" i="7"/>
  <c r="I108" i="7"/>
  <c r="J108" i="7"/>
  <c r="L108" i="7"/>
  <c r="G108" i="7"/>
  <c r="H157" i="7" s="1"/>
  <c r="L12" i="7"/>
  <c r="C108" i="7" s="1"/>
  <c r="E108" i="7"/>
  <c r="F108" i="7"/>
  <c r="I217" i="7"/>
  <c r="K192" i="7"/>
  <c r="M192" i="7" s="1"/>
  <c r="J258" i="7"/>
  <c r="G237" i="7"/>
  <c r="E183" i="7"/>
  <c r="F201" i="7"/>
  <c r="G226" i="7"/>
  <c r="L24" i="7"/>
  <c r="C115" i="7" s="1"/>
  <c r="N25" i="7"/>
  <c r="F183" i="7"/>
  <c r="J256" i="7"/>
  <c r="J235" i="7"/>
  <c r="I210" i="7"/>
  <c r="D250" i="7"/>
  <c r="D226" i="7"/>
  <c r="D201" i="7"/>
  <c r="J11" i="7"/>
  <c r="J5" i="7"/>
  <c r="J10" i="7"/>
  <c r="J6" i="7"/>
  <c r="G122" i="7"/>
  <c r="H122" i="7"/>
  <c r="I171" i="7" s="1"/>
  <c r="I122" i="7"/>
  <c r="J171" i="7" s="1"/>
  <c r="J122" i="7"/>
  <c r="L122" i="7"/>
  <c r="G242" i="7"/>
  <c r="F217" i="7"/>
  <c r="C161" i="7"/>
  <c r="C185" i="7"/>
  <c r="F177" i="7"/>
  <c r="J250" i="7"/>
  <c r="H228" i="7"/>
  <c r="H255" i="7"/>
  <c r="I140" i="7"/>
  <c r="D228" i="7"/>
  <c r="F209" i="7"/>
  <c r="D207" i="7"/>
  <c r="D232" i="7"/>
  <c r="D256" i="7"/>
  <c r="K141" i="7"/>
  <c r="E186" i="7"/>
  <c r="G186" i="7" s="1"/>
  <c r="K186" i="7"/>
  <c r="M186" i="7" s="1"/>
  <c r="J119" i="7"/>
  <c r="L119" i="7"/>
  <c r="E119" i="7"/>
  <c r="L30" i="7"/>
  <c r="C119" i="7" s="1"/>
  <c r="F119" i="7"/>
  <c r="G168" i="7" s="1"/>
  <c r="G119" i="7"/>
  <c r="H168" i="7" s="1"/>
  <c r="H119" i="7"/>
  <c r="I168" i="7" s="1"/>
  <c r="I119" i="7"/>
  <c r="J168" i="7" s="1"/>
  <c r="J29" i="7"/>
  <c r="J32" i="7"/>
  <c r="J28" i="7"/>
  <c r="J31" i="7"/>
  <c r="G187" i="7"/>
  <c r="I54" i="7"/>
  <c r="F262" i="7"/>
  <c r="F266" i="7"/>
  <c r="J227" i="7"/>
  <c r="I136" i="7"/>
  <c r="I141" i="7" s="1"/>
  <c r="H86" i="7"/>
  <c r="F213" i="7"/>
  <c r="F99" i="7"/>
  <c r="G142" i="7"/>
  <c r="G148" i="7" s="1"/>
  <c r="F34" i="7"/>
  <c r="G239" i="7"/>
  <c r="F25" i="7"/>
  <c r="G232" i="7"/>
  <c r="G238" i="7" s="1"/>
  <c r="F11" i="7"/>
  <c r="E13" i="7"/>
  <c r="G13" i="7" s="1"/>
  <c r="J195" i="7"/>
  <c r="N195" i="7" s="1"/>
  <c r="F171" i="7"/>
  <c r="D195" i="7"/>
  <c r="J264" i="7"/>
  <c r="F191" i="7"/>
  <c r="F196" i="7" s="1"/>
  <c r="I202" i="7"/>
  <c r="J255" i="7"/>
  <c r="G234" i="7"/>
  <c r="I132" i="7"/>
  <c r="J132" i="7"/>
  <c r="K132" i="7"/>
  <c r="M132" i="7"/>
  <c r="E99" i="7"/>
  <c r="F142" i="7"/>
  <c r="E25" i="7"/>
  <c r="D242" i="7"/>
  <c r="D217" i="7"/>
  <c r="D266" i="7"/>
  <c r="J138" i="7"/>
  <c r="K138" i="7"/>
  <c r="M138" i="7"/>
  <c r="I138" i="7"/>
  <c r="J230" i="7"/>
  <c r="M183" i="7"/>
  <c r="J244" i="7"/>
  <c r="J140" i="7"/>
  <c r="K140" i="7"/>
  <c r="M140" i="7"/>
  <c r="F140" i="7"/>
  <c r="G140" i="7"/>
  <c r="G141" i="7" s="1"/>
  <c r="D252" i="7"/>
  <c r="D240" i="7"/>
  <c r="D215" i="7"/>
  <c r="E194" i="7"/>
  <c r="G194" i="7" s="1"/>
  <c r="K194" i="7"/>
  <c r="M194" i="7" s="1"/>
  <c r="K191" i="7"/>
  <c r="M191" i="7" s="1"/>
  <c r="E191" i="7"/>
  <c r="G191" i="7" s="1"/>
  <c r="G228" i="7"/>
  <c r="I99" i="7"/>
  <c r="J142" i="7"/>
  <c r="H235" i="7"/>
  <c r="H238" i="7" s="1"/>
  <c r="J185" i="7"/>
  <c r="N185" i="7" s="1"/>
  <c r="D185" i="7"/>
  <c r="H185" i="7" s="1"/>
  <c r="F161" i="7"/>
  <c r="H241" i="7"/>
  <c r="F192" i="7"/>
  <c r="G192" i="7" s="1"/>
  <c r="J237" i="7"/>
  <c r="I212" i="7"/>
  <c r="D219" i="7"/>
  <c r="D268" i="7"/>
  <c r="F193" i="7"/>
  <c r="K146" i="7"/>
  <c r="M146" i="7"/>
  <c r="G146" i="7"/>
  <c r="J146" i="7"/>
  <c r="H146" i="7"/>
  <c r="H148" i="7" s="1"/>
  <c r="I146" i="7"/>
  <c r="I148" i="7" s="1"/>
  <c r="K195" i="7"/>
  <c r="M195" i="7" s="1"/>
  <c r="E195" i="7"/>
  <c r="G195" i="7" s="1"/>
  <c r="E73" i="7"/>
  <c r="F128" i="7"/>
  <c r="G244" i="7"/>
  <c r="F268" i="7"/>
  <c r="F219" i="7"/>
  <c r="H243" i="7"/>
  <c r="F179" i="7"/>
  <c r="F129" i="7"/>
  <c r="G129" i="7"/>
  <c r="F73" i="7"/>
  <c r="G112" i="7"/>
  <c r="H112" i="7"/>
  <c r="I161" i="7" s="1"/>
  <c r="I112" i="7"/>
  <c r="J112" i="7"/>
  <c r="L112" i="7"/>
  <c r="F187" i="7"/>
  <c r="J260" i="7"/>
  <c r="H128" i="7"/>
  <c r="H134" i="7" s="1"/>
  <c r="I86" i="7"/>
  <c r="H15" i="7"/>
  <c r="H239" i="7"/>
  <c r="C134" i="7"/>
  <c r="G128" i="7"/>
  <c r="F112" i="7"/>
  <c r="K34" i="7"/>
  <c r="G86" i="7"/>
  <c r="L19" i="7"/>
  <c r="E110" i="7"/>
  <c r="F110" i="7"/>
  <c r="G110" i="7"/>
  <c r="H110" i="7"/>
  <c r="J110" i="7"/>
  <c r="L110" i="7"/>
  <c r="H229" i="7"/>
  <c r="J229" i="7"/>
  <c r="H147" i="7"/>
  <c r="F131" i="7"/>
  <c r="G131" i="7"/>
  <c r="I128" i="7"/>
  <c r="J128" i="7"/>
  <c r="K128" i="7"/>
  <c r="M128" i="7"/>
  <c r="I34" i="7"/>
  <c r="K25" i="7"/>
  <c r="E14" i="7"/>
  <c r="E15" i="7"/>
  <c r="G16" i="7" s="1"/>
  <c r="E8" i="7"/>
  <c r="G8" i="7" s="1"/>
  <c r="F260" i="7"/>
  <c r="D258" i="7"/>
  <c r="K142" i="7"/>
  <c r="K148" i="7" s="1"/>
  <c r="M142" i="7"/>
  <c r="M133" i="7"/>
  <c r="F255" i="7"/>
  <c r="E86" i="7"/>
  <c r="G236" i="7"/>
  <c r="H262" i="7"/>
  <c r="E185" i="7"/>
  <c r="G185" i="7" s="1"/>
  <c r="K133" i="7"/>
  <c r="F31" i="7"/>
  <c r="K15" i="7"/>
  <c r="F203" i="7"/>
  <c r="J241" i="7"/>
  <c r="I133" i="7"/>
  <c r="G130" i="7"/>
  <c r="E9" i="7"/>
  <c r="J239" i="7"/>
  <c r="E115" i="7"/>
  <c r="F115" i="7"/>
  <c r="G115" i="7"/>
  <c r="H164" i="7" s="1"/>
  <c r="H115" i="7"/>
  <c r="I164" i="7" s="1"/>
  <c r="J115" i="7"/>
  <c r="L115" i="7"/>
  <c r="J99" i="7"/>
  <c r="J269" i="7"/>
  <c r="J252" i="7"/>
  <c r="H226" i="7"/>
  <c r="K144" i="7"/>
  <c r="M144" i="7"/>
  <c r="J136" i="7"/>
  <c r="J141" i="7" s="1"/>
  <c r="K136" i="7"/>
  <c r="M136" i="7"/>
  <c r="I115" i="7"/>
  <c r="H99" i="7"/>
  <c r="G213" i="7"/>
  <c r="F133" i="7"/>
  <c r="G133" i="7"/>
  <c r="I130" i="7"/>
  <c r="J130" i="7"/>
  <c r="K130" i="7"/>
  <c r="M130" i="7"/>
  <c r="L99" i="7"/>
  <c r="G99" i="7"/>
  <c r="I25" i="7"/>
  <c r="G227" i="7"/>
  <c r="H139" i="7"/>
  <c r="H137" i="7"/>
  <c r="H135" i="7"/>
  <c r="H141" i="7" s="1"/>
  <c r="J23" i="7"/>
  <c r="J20" i="7"/>
  <c r="J7" i="7"/>
  <c r="J22" i="7"/>
  <c r="J226" i="7" l="1"/>
  <c r="I201" i="7"/>
  <c r="K164" i="7"/>
  <c r="G157" i="7"/>
  <c r="K181" i="7"/>
  <c r="M181" i="7" s="1"/>
  <c r="E181" i="7"/>
  <c r="G181" i="7" s="1"/>
  <c r="D205" i="7"/>
  <c r="N205" i="7" s="1"/>
  <c r="D230" i="7"/>
  <c r="D254" i="7"/>
  <c r="E254" i="7" s="1"/>
  <c r="E188" i="7"/>
  <c r="G188" i="7" s="1"/>
  <c r="K188" i="7"/>
  <c r="M188" i="7" s="1"/>
  <c r="J116" i="7"/>
  <c r="K159" i="7"/>
  <c r="D261" i="7"/>
  <c r="D212" i="7"/>
  <c r="D237" i="7"/>
  <c r="M141" i="7"/>
  <c r="L7" i="7"/>
  <c r="C105" i="7" s="1"/>
  <c r="G105" i="7"/>
  <c r="H154" i="7" s="1"/>
  <c r="J8" i="7"/>
  <c r="H105" i="7"/>
  <c r="I154" i="7" s="1"/>
  <c r="J105" i="7"/>
  <c r="I105" i="7"/>
  <c r="L105" i="7"/>
  <c r="E105" i="7"/>
  <c r="F105" i="7"/>
  <c r="G154" i="7" s="1"/>
  <c r="H159" i="7"/>
  <c r="G116" i="7"/>
  <c r="C234" i="7"/>
  <c r="C258" i="7"/>
  <c r="M161" i="7"/>
  <c r="C209" i="7"/>
  <c r="L32" i="7"/>
  <c r="C121" i="7" s="1"/>
  <c r="G121" i="7"/>
  <c r="H170" i="7" s="1"/>
  <c r="E121" i="7"/>
  <c r="F121" i="7"/>
  <c r="G170" i="7" s="1"/>
  <c r="I121" i="7"/>
  <c r="J170" i="7" s="1"/>
  <c r="J121" i="7"/>
  <c r="L121" i="7"/>
  <c r="H121" i="7"/>
  <c r="I170" i="7" s="1"/>
  <c r="J148" i="7"/>
  <c r="C164" i="7"/>
  <c r="C188" i="7"/>
  <c r="K189" i="7"/>
  <c r="I157" i="7"/>
  <c r="G183" i="7"/>
  <c r="D259" i="7"/>
  <c r="D235" i="7"/>
  <c r="D210" i="7"/>
  <c r="K134" i="7"/>
  <c r="K177" i="7"/>
  <c r="M177" i="7" s="1"/>
  <c r="E177" i="7"/>
  <c r="G177" i="7" s="1"/>
  <c r="J240" i="7"/>
  <c r="J245" i="7" s="1"/>
  <c r="I215" i="7"/>
  <c r="H106" i="7"/>
  <c r="I155" i="7" s="1"/>
  <c r="I106" i="7"/>
  <c r="J106" i="7"/>
  <c r="L106" i="7"/>
  <c r="E106" i="7"/>
  <c r="F106" i="7"/>
  <c r="G155" i="7" s="1"/>
  <c r="G106" i="7"/>
  <c r="H155" i="7" s="1"/>
  <c r="L10" i="7"/>
  <c r="C106" i="7" s="1"/>
  <c r="J262" i="7"/>
  <c r="I209" i="7"/>
  <c r="Q209" i="7" s="1"/>
  <c r="K258" i="7"/>
  <c r="J234" i="7"/>
  <c r="K168" i="7"/>
  <c r="J181" i="7"/>
  <c r="F157" i="7"/>
  <c r="D181" i="7"/>
  <c r="M148" i="7"/>
  <c r="D214" i="7"/>
  <c r="D239" i="7"/>
  <c r="D263" i="7"/>
  <c r="L22" i="7"/>
  <c r="C113" i="7" s="1"/>
  <c r="F113" i="7"/>
  <c r="G162" i="7" s="1"/>
  <c r="G113" i="7"/>
  <c r="H113" i="7"/>
  <c r="I162" i="7" s="1"/>
  <c r="E113" i="7"/>
  <c r="J113" i="7"/>
  <c r="L113" i="7"/>
  <c r="I113" i="7"/>
  <c r="C157" i="7"/>
  <c r="C181" i="7"/>
  <c r="F117" i="7"/>
  <c r="G117" i="7"/>
  <c r="H117" i="7"/>
  <c r="J34" i="7"/>
  <c r="I117" i="7"/>
  <c r="J117" i="7"/>
  <c r="L117" i="7"/>
  <c r="L28" i="7"/>
  <c r="E117" i="7"/>
  <c r="C205" i="7"/>
  <c r="M157" i="7"/>
  <c r="C230" i="7"/>
  <c r="C254" i="7"/>
  <c r="K161" i="7"/>
  <c r="L114" i="7"/>
  <c r="J114" i="7"/>
  <c r="L23" i="7"/>
  <c r="C114" i="7" s="1"/>
  <c r="E114" i="7"/>
  <c r="F114" i="7"/>
  <c r="G163" i="7" s="1"/>
  <c r="G114" i="7"/>
  <c r="H163" i="7" s="1"/>
  <c r="H114" i="7"/>
  <c r="I163" i="7" s="1"/>
  <c r="I114" i="7"/>
  <c r="K171" i="7"/>
  <c r="F206" i="7"/>
  <c r="H242" i="7"/>
  <c r="H245" i="7" s="1"/>
  <c r="E193" i="7"/>
  <c r="G193" i="7" s="1"/>
  <c r="E104" i="7"/>
  <c r="F104" i="7"/>
  <c r="G153" i="7" s="1"/>
  <c r="G104" i="7"/>
  <c r="H153" i="7" s="1"/>
  <c r="H104" i="7"/>
  <c r="I153" i="7" s="1"/>
  <c r="I104" i="7"/>
  <c r="L104" i="7"/>
  <c r="L6" i="7"/>
  <c r="C104" i="7" s="1"/>
  <c r="J104" i="7"/>
  <c r="H231" i="7"/>
  <c r="G134" i="7"/>
  <c r="L5" i="7"/>
  <c r="E103" i="7"/>
  <c r="J15" i="7"/>
  <c r="G103" i="7"/>
  <c r="H103" i="7"/>
  <c r="F103" i="7"/>
  <c r="I103" i="7"/>
  <c r="J103" i="7"/>
  <c r="L103" i="7"/>
  <c r="E176" i="7"/>
  <c r="K176" i="7"/>
  <c r="F134" i="7"/>
  <c r="E190" i="7"/>
  <c r="F148" i="7"/>
  <c r="K190" i="7"/>
  <c r="G229" i="7"/>
  <c r="G231" i="7" s="1"/>
  <c r="F180" i="7"/>
  <c r="F182" i="7" s="1"/>
  <c r="G164" i="7"/>
  <c r="D253" i="7"/>
  <c r="D229" i="7"/>
  <c r="D204" i="7"/>
  <c r="I159" i="7"/>
  <c r="G245" i="7"/>
  <c r="I207" i="7"/>
  <c r="J232" i="7"/>
  <c r="J238" i="7" s="1"/>
  <c r="J183" i="7"/>
  <c r="D183" i="7"/>
  <c r="H183" i="7" s="1"/>
  <c r="F159" i="7"/>
  <c r="C219" i="7"/>
  <c r="C268" i="7"/>
  <c r="G268" i="7" s="1"/>
  <c r="M171" i="7"/>
  <c r="C244" i="7"/>
  <c r="E180" i="7"/>
  <c r="J157" i="7"/>
  <c r="J164" i="7"/>
  <c r="M134" i="7"/>
  <c r="D225" i="7"/>
  <c r="D200" i="7"/>
  <c r="D249" i="7"/>
  <c r="I134" i="7"/>
  <c r="E268" i="7"/>
  <c r="C168" i="7"/>
  <c r="C192" i="7"/>
  <c r="L11" i="7"/>
  <c r="C107" i="7" s="1"/>
  <c r="E107" i="7"/>
  <c r="G107" i="7"/>
  <c r="H156" i="7" s="1"/>
  <c r="H107" i="7"/>
  <c r="I156" i="7" s="1"/>
  <c r="I107" i="7"/>
  <c r="F107" i="7"/>
  <c r="G156" i="7" s="1"/>
  <c r="L107" i="7"/>
  <c r="J107" i="7"/>
  <c r="D188" i="7"/>
  <c r="J188" i="7"/>
  <c r="N188" i="7" s="1"/>
  <c r="F164" i="7"/>
  <c r="D238" i="7"/>
  <c r="D262" i="7"/>
  <c r="E258" i="7"/>
  <c r="F189" i="7"/>
  <c r="F116" i="7"/>
  <c r="G159" i="7"/>
  <c r="F111" i="7"/>
  <c r="I111" i="7"/>
  <c r="G111" i="7"/>
  <c r="H111" i="7"/>
  <c r="I160" i="7" s="1"/>
  <c r="J111" i="7"/>
  <c r="L20" i="7"/>
  <c r="C111" i="7" s="1"/>
  <c r="L111" i="7"/>
  <c r="E111" i="7"/>
  <c r="J25" i="7"/>
  <c r="F122" i="7"/>
  <c r="G171" i="7" s="1"/>
  <c r="E118" i="7"/>
  <c r="F118" i="7"/>
  <c r="G167" i="7" s="1"/>
  <c r="G118" i="7"/>
  <c r="H167" i="7" s="1"/>
  <c r="H118" i="7"/>
  <c r="I167" i="7" s="1"/>
  <c r="I118" i="7"/>
  <c r="J167" i="7" s="1"/>
  <c r="J118" i="7"/>
  <c r="L29" i="7"/>
  <c r="C118" i="7" s="1"/>
  <c r="L118" i="7"/>
  <c r="F141" i="7"/>
  <c r="J134" i="7"/>
  <c r="H195" i="7"/>
  <c r="F269" i="7"/>
  <c r="D192" i="7"/>
  <c r="H192" i="7" s="1"/>
  <c r="J192" i="7"/>
  <c r="N192" i="7" s="1"/>
  <c r="F168" i="7"/>
  <c r="J242" i="7"/>
  <c r="C212" i="7"/>
  <c r="Q212" i="7" s="1"/>
  <c r="C261" i="7"/>
  <c r="C237" i="7"/>
  <c r="M164" i="7"/>
  <c r="C256" i="7"/>
  <c r="K256" i="7" s="1"/>
  <c r="L116" i="7"/>
  <c r="M159" i="7"/>
  <c r="C207" i="7"/>
  <c r="C232" i="7"/>
  <c r="I211" i="7"/>
  <c r="J236" i="7"/>
  <c r="J13" i="7"/>
  <c r="L31" i="7"/>
  <c r="C120" i="7" s="1"/>
  <c r="E120" i="7"/>
  <c r="F120" i="7"/>
  <c r="G169" i="7" s="1"/>
  <c r="G120" i="7"/>
  <c r="H169" i="7" s="1"/>
  <c r="I120" i="7"/>
  <c r="J169" i="7" s="1"/>
  <c r="J120" i="7"/>
  <c r="H120" i="7"/>
  <c r="I169" i="7" s="1"/>
  <c r="L120" i="7"/>
  <c r="F220" i="7"/>
  <c r="M189" i="7"/>
  <c r="K157" i="7"/>
  <c r="D208" i="7"/>
  <c r="D257" i="7"/>
  <c r="D233" i="7"/>
  <c r="C110" i="7"/>
  <c r="D243" i="7"/>
  <c r="D218" i="7"/>
  <c r="D267" i="7"/>
  <c r="O209" i="7"/>
  <c r="D216" i="7"/>
  <c r="N216" i="7" s="1"/>
  <c r="D265" i="7"/>
  <c r="D241" i="7"/>
  <c r="H171" i="7"/>
  <c r="F15" i="7"/>
  <c r="J228" i="7"/>
  <c r="I203" i="7"/>
  <c r="D202" i="7"/>
  <c r="D251" i="7"/>
  <c r="D227" i="7"/>
  <c r="K179" i="7"/>
  <c r="M179" i="7" s="1"/>
  <c r="E179" i="7"/>
  <c r="G179" i="7" s="1"/>
  <c r="O219" i="7"/>
  <c r="C216" i="7"/>
  <c r="C265" i="7"/>
  <c r="M168" i="7"/>
  <c r="C241" i="7"/>
  <c r="E232" i="7" l="1"/>
  <c r="F232" i="7"/>
  <c r="N183" i="7"/>
  <c r="K152" i="7"/>
  <c r="J109" i="7"/>
  <c r="D255" i="7"/>
  <c r="E251" i="7"/>
  <c r="M165" i="7"/>
  <c r="C240" i="7"/>
  <c r="M167" i="7"/>
  <c r="C215" i="7"/>
  <c r="C264" i="7"/>
  <c r="J152" i="7"/>
  <c r="J158" i="7" s="1"/>
  <c r="I109" i="7"/>
  <c r="J159" i="7"/>
  <c r="J165" i="7" s="1"/>
  <c r="E205" i="7"/>
  <c r="J205" i="7"/>
  <c r="H205" i="7"/>
  <c r="O205" i="7"/>
  <c r="P205" i="7"/>
  <c r="Q205" i="7"/>
  <c r="H162" i="7"/>
  <c r="F155" i="7"/>
  <c r="J179" i="7"/>
  <c r="N179" i="7" s="1"/>
  <c r="D179" i="7"/>
  <c r="H179" i="7" s="1"/>
  <c r="F162" i="7"/>
  <c r="F165" i="7" s="1"/>
  <c r="D186" i="7"/>
  <c r="H186" i="7" s="1"/>
  <c r="J186" i="7"/>
  <c r="N186" i="7" s="1"/>
  <c r="F154" i="7"/>
  <c r="D178" i="7"/>
  <c r="H178" i="7" s="1"/>
  <c r="J178" i="7"/>
  <c r="N178" i="7" s="1"/>
  <c r="I152" i="7"/>
  <c r="I158" i="7" s="1"/>
  <c r="H109" i="7"/>
  <c r="H152" i="7"/>
  <c r="H158" i="7" s="1"/>
  <c r="G109" i="7"/>
  <c r="L34" i="7"/>
  <c r="C117" i="7"/>
  <c r="J155" i="7"/>
  <c r="J162" i="7"/>
  <c r="J161" i="7"/>
  <c r="J154" i="7"/>
  <c r="F237" i="7"/>
  <c r="E237" i="7"/>
  <c r="I237" i="7" s="1"/>
  <c r="K237" i="7" s="1"/>
  <c r="H116" i="7"/>
  <c r="C263" i="7"/>
  <c r="C239" i="7"/>
  <c r="C214" i="7"/>
  <c r="L123" i="7"/>
  <c r="M166" i="7"/>
  <c r="D245" i="7"/>
  <c r="K154" i="7"/>
  <c r="G256" i="7"/>
  <c r="I256" i="7"/>
  <c r="L256" i="7"/>
  <c r="M256" i="7" s="1"/>
  <c r="C162" i="7"/>
  <c r="C186" i="7"/>
  <c r="J123" i="7"/>
  <c r="K166" i="7"/>
  <c r="H161" i="7"/>
  <c r="H165" i="7" s="1"/>
  <c r="H166" i="7"/>
  <c r="H172" i="7" s="1"/>
  <c r="G123" i="7"/>
  <c r="C213" i="7"/>
  <c r="E207" i="7"/>
  <c r="J207" i="7"/>
  <c r="H207" i="7"/>
  <c r="P207" i="7"/>
  <c r="O207" i="7"/>
  <c r="G152" i="7"/>
  <c r="G158" i="7" s="1"/>
  <c r="F109" i="7"/>
  <c r="K155" i="7"/>
  <c r="G261" i="7"/>
  <c r="I261" i="7"/>
  <c r="L261" i="7"/>
  <c r="M261" i="7" s="1"/>
  <c r="K261" i="7"/>
  <c r="D206" i="7"/>
  <c r="D220" i="7"/>
  <c r="C154" i="7"/>
  <c r="C178" i="7"/>
  <c r="D194" i="7"/>
  <c r="H194" i="7" s="1"/>
  <c r="F170" i="7"/>
  <c r="J194" i="7"/>
  <c r="N194" i="7" s="1"/>
  <c r="K156" i="7"/>
  <c r="G166" i="7"/>
  <c r="G172" i="7" s="1"/>
  <c r="F123" i="7"/>
  <c r="G161" i="7"/>
  <c r="F169" i="7"/>
  <c r="J193" i="7"/>
  <c r="N193" i="7" s="1"/>
  <c r="D193" i="7"/>
  <c r="H193" i="7" s="1"/>
  <c r="C257" i="7"/>
  <c r="M160" i="7"/>
  <c r="C208" i="7"/>
  <c r="C233" i="7"/>
  <c r="C229" i="7"/>
  <c r="C204" i="7"/>
  <c r="C253" i="7"/>
  <c r="M156" i="7"/>
  <c r="C163" i="7"/>
  <c r="C187" i="7"/>
  <c r="C194" i="7"/>
  <c r="C170" i="7"/>
  <c r="L265" i="7"/>
  <c r="I265" i="7"/>
  <c r="C269" i="7"/>
  <c r="K265" i="7"/>
  <c r="G265" i="7"/>
  <c r="N218" i="7"/>
  <c r="C169" i="7"/>
  <c r="C193" i="7"/>
  <c r="G269" i="7"/>
  <c r="C184" i="7"/>
  <c r="C160" i="7"/>
  <c r="E244" i="7"/>
  <c r="I244" i="7" s="1"/>
  <c r="K244" i="7" s="1"/>
  <c r="K196" i="7"/>
  <c r="M190" i="7"/>
  <c r="M196" i="7" s="1"/>
  <c r="J153" i="7"/>
  <c r="J160" i="7"/>
  <c r="K163" i="7"/>
  <c r="H209" i="7"/>
  <c r="J209" i="7"/>
  <c r="E209" i="7"/>
  <c r="P209" i="7"/>
  <c r="N209" i="7"/>
  <c r="R209" i="7" s="1"/>
  <c r="E261" i="7"/>
  <c r="Q201" i="7"/>
  <c r="I206" i="7"/>
  <c r="C203" i="7"/>
  <c r="M155" i="7"/>
  <c r="C228" i="7"/>
  <c r="C252" i="7"/>
  <c r="C202" i="7"/>
  <c r="C227" i="7"/>
  <c r="M154" i="7"/>
  <c r="C251" i="7"/>
  <c r="I165" i="7"/>
  <c r="M170" i="7"/>
  <c r="C267" i="7"/>
  <c r="E267" i="7" s="1"/>
  <c r="C218" i="7"/>
  <c r="C243" i="7"/>
  <c r="K170" i="7"/>
  <c r="K169" i="7"/>
  <c r="H181" i="7"/>
  <c r="D184" i="7"/>
  <c r="H184" i="7" s="1"/>
  <c r="F160" i="7"/>
  <c r="J184" i="7"/>
  <c r="N184" i="7" s="1"/>
  <c r="C177" i="7"/>
  <c r="C153" i="7"/>
  <c r="G180" i="7"/>
  <c r="M153" i="7"/>
  <c r="C201" i="7"/>
  <c r="C226" i="7"/>
  <c r="C250" i="7"/>
  <c r="N212" i="7"/>
  <c r="E216" i="7"/>
  <c r="H216" i="7"/>
  <c r="J216" i="7"/>
  <c r="Q216" i="7"/>
  <c r="P216" i="7"/>
  <c r="O216" i="7"/>
  <c r="R216" i="7" s="1"/>
  <c r="K160" i="7"/>
  <c r="J163" i="7"/>
  <c r="J156" i="7"/>
  <c r="C260" i="7"/>
  <c r="C236" i="7"/>
  <c r="M163" i="7"/>
  <c r="C211" i="7"/>
  <c r="G165" i="7"/>
  <c r="C200" i="7"/>
  <c r="M152" i="7"/>
  <c r="C249" i="7"/>
  <c r="L109" i="7"/>
  <c r="C225" i="7"/>
  <c r="N202" i="7"/>
  <c r="M169" i="7"/>
  <c r="C242" i="7"/>
  <c r="C217" i="7"/>
  <c r="C266" i="7"/>
  <c r="F152" i="7"/>
  <c r="D176" i="7"/>
  <c r="J176" i="7"/>
  <c r="E109" i="7"/>
  <c r="I220" i="7"/>
  <c r="D231" i="7"/>
  <c r="L25" i="7"/>
  <c r="L268" i="7"/>
  <c r="M268" i="7" s="1"/>
  <c r="I268" i="7"/>
  <c r="K268" i="7"/>
  <c r="E259" i="7"/>
  <c r="L258" i="7"/>
  <c r="C262" i="7"/>
  <c r="G262" i="7" s="1"/>
  <c r="I258" i="7"/>
  <c r="G258" i="7"/>
  <c r="C159" i="7"/>
  <c r="C165" i="7" s="1"/>
  <c r="C116" i="7"/>
  <c r="C183" i="7"/>
  <c r="H160" i="7"/>
  <c r="E219" i="7"/>
  <c r="J219" i="7"/>
  <c r="P219" i="7"/>
  <c r="H219" i="7"/>
  <c r="Q219" i="7"/>
  <c r="E189" i="7"/>
  <c r="E234" i="7"/>
  <c r="I234" i="7" s="1"/>
  <c r="K234" i="7" s="1"/>
  <c r="F234" i="7"/>
  <c r="N208" i="7"/>
  <c r="C191" i="7"/>
  <c r="C167" i="7"/>
  <c r="R205" i="7"/>
  <c r="K167" i="7"/>
  <c r="I213" i="7"/>
  <c r="Q207" i="7"/>
  <c r="D190" i="7"/>
  <c r="E123" i="7"/>
  <c r="F166" i="7"/>
  <c r="J190" i="7"/>
  <c r="J166" i="7"/>
  <c r="J172" i="7" s="1"/>
  <c r="I123" i="7"/>
  <c r="J191" i="7"/>
  <c r="N191" i="7" s="1"/>
  <c r="D191" i="7"/>
  <c r="H191" i="7" s="1"/>
  <c r="F167" i="7"/>
  <c r="J187" i="7"/>
  <c r="N187" i="7" s="1"/>
  <c r="F163" i="7"/>
  <c r="D187" i="7"/>
  <c r="H187" i="7" s="1"/>
  <c r="H189" i="7" s="1"/>
  <c r="N219" i="7"/>
  <c r="R219" i="7" s="1"/>
  <c r="I116" i="7"/>
  <c r="D180" i="7"/>
  <c r="H180" i="7" s="1"/>
  <c r="F156" i="7"/>
  <c r="J180" i="7"/>
  <c r="N180" i="7" s="1"/>
  <c r="K182" i="7"/>
  <c r="M176" i="7"/>
  <c r="M182" i="7" s="1"/>
  <c r="J177" i="7"/>
  <c r="N177" i="7" s="1"/>
  <c r="F153" i="7"/>
  <c r="D177" i="7"/>
  <c r="H177" i="7" s="1"/>
  <c r="C259" i="7"/>
  <c r="M162" i="7"/>
  <c r="C235" i="7"/>
  <c r="C210" i="7"/>
  <c r="G189" i="7"/>
  <c r="D213" i="7"/>
  <c r="E230" i="7"/>
  <c r="I230" i="7" s="1"/>
  <c r="K230" i="7" s="1"/>
  <c r="F230" i="7"/>
  <c r="E212" i="7"/>
  <c r="J212" i="7"/>
  <c r="H212" i="7"/>
  <c r="O212" i="7"/>
  <c r="P212" i="7"/>
  <c r="L15" i="7"/>
  <c r="R15" i="7" s="1"/>
  <c r="C103" i="7"/>
  <c r="H188" i="7"/>
  <c r="E265" i="7"/>
  <c r="D269" i="7"/>
  <c r="H123" i="7"/>
  <c r="I166" i="7"/>
  <c r="I172" i="7" s="1"/>
  <c r="K153" i="7"/>
  <c r="N181" i="7"/>
  <c r="E241" i="7"/>
  <c r="I241" i="7" s="1"/>
  <c r="K241" i="7" s="1"/>
  <c r="F241" i="7"/>
  <c r="E196" i="7"/>
  <c r="G190" i="7"/>
  <c r="G196" i="7" s="1"/>
  <c r="J231" i="7"/>
  <c r="Q211" i="7"/>
  <c r="E257" i="7"/>
  <c r="E256" i="7"/>
  <c r="G160" i="7"/>
  <c r="C180" i="7"/>
  <c r="C156" i="7"/>
  <c r="E116" i="7"/>
  <c r="E182" i="7"/>
  <c r="G176" i="7"/>
  <c r="G182" i="7" s="1"/>
  <c r="L254" i="7"/>
  <c r="M254" i="7" s="1"/>
  <c r="G254" i="7"/>
  <c r="K254" i="7"/>
  <c r="I254" i="7"/>
  <c r="K162" i="7"/>
  <c r="K165" i="7" s="1"/>
  <c r="C179" i="7"/>
  <c r="C155" i="7"/>
  <c r="N207" i="7"/>
  <c r="E204" i="7" l="1"/>
  <c r="H204" i="7"/>
  <c r="J204" i="7"/>
  <c r="P204" i="7"/>
  <c r="O204" i="7"/>
  <c r="Q204" i="7"/>
  <c r="E229" i="7"/>
  <c r="I229" i="7" s="1"/>
  <c r="K229" i="7" s="1"/>
  <c r="F229" i="7"/>
  <c r="G249" i="7"/>
  <c r="L249" i="7"/>
  <c r="M249" i="7" s="1"/>
  <c r="I249" i="7"/>
  <c r="K249" i="7"/>
  <c r="E208" i="7"/>
  <c r="H208" i="7"/>
  <c r="J208" i="7"/>
  <c r="P208" i="7"/>
  <c r="P213" i="7" s="1"/>
  <c r="Q208" i="7"/>
  <c r="Q213" i="7" s="1"/>
  <c r="O208" i="7"/>
  <c r="R208" i="7" s="1"/>
  <c r="J218" i="7"/>
  <c r="E218" i="7"/>
  <c r="H218" i="7"/>
  <c r="O218" i="7"/>
  <c r="P218" i="7"/>
  <c r="Q218" i="7"/>
  <c r="C231" i="7"/>
  <c r="E225" i="7"/>
  <c r="F225" i="7"/>
  <c r="E215" i="7"/>
  <c r="H215" i="7"/>
  <c r="O215" i="7"/>
  <c r="P215" i="7"/>
  <c r="J215" i="7"/>
  <c r="N215" i="7"/>
  <c r="R215" i="7" s="1"/>
  <c r="E233" i="7"/>
  <c r="I233" i="7" s="1"/>
  <c r="K233" i="7" s="1"/>
  <c r="F233" i="7"/>
  <c r="E210" i="7"/>
  <c r="J210" i="7"/>
  <c r="H210" i="7"/>
  <c r="O210" i="7"/>
  <c r="O213" i="7" s="1"/>
  <c r="P210" i="7"/>
  <c r="Q210" i="7"/>
  <c r="E226" i="7"/>
  <c r="I226" i="7" s="1"/>
  <c r="K226" i="7" s="1"/>
  <c r="L259" i="7"/>
  <c r="M259" i="7" s="1"/>
  <c r="I259" i="7"/>
  <c r="K259" i="7"/>
  <c r="G259" i="7"/>
  <c r="N204" i="7"/>
  <c r="R204" i="7" s="1"/>
  <c r="E211" i="7"/>
  <c r="H211" i="7"/>
  <c r="P211" i="7"/>
  <c r="J211" i="7"/>
  <c r="O211" i="7"/>
  <c r="N211" i="7"/>
  <c r="R211" i="7" s="1"/>
  <c r="R218" i="7"/>
  <c r="I263" i="7"/>
  <c r="L263" i="7"/>
  <c r="M263" i="7" s="1"/>
  <c r="K263" i="7"/>
  <c r="G263" i="7"/>
  <c r="G267" i="7"/>
  <c r="K267" i="7"/>
  <c r="L267" i="7"/>
  <c r="M267" i="7" s="1"/>
  <c r="I267" i="7"/>
  <c r="F172" i="7"/>
  <c r="E236" i="7"/>
  <c r="I236" i="7" s="1"/>
  <c r="K236" i="7" s="1"/>
  <c r="F236" i="7"/>
  <c r="Q215" i="7"/>
  <c r="L260" i="7"/>
  <c r="M260" i="7" s="1"/>
  <c r="I260" i="7"/>
  <c r="E260" i="7"/>
  <c r="K260" i="7"/>
  <c r="G260" i="7"/>
  <c r="E227" i="7"/>
  <c r="I227" i="7" s="1"/>
  <c r="K227" i="7" s="1"/>
  <c r="K158" i="7"/>
  <c r="E242" i="7"/>
  <c r="I242" i="7" s="1"/>
  <c r="K242" i="7" s="1"/>
  <c r="F242" i="7"/>
  <c r="L253" i="7"/>
  <c r="M253" i="7" s="1"/>
  <c r="I253" i="7"/>
  <c r="K253" i="7"/>
  <c r="G253" i="7"/>
  <c r="M172" i="7"/>
  <c r="M158" i="7"/>
  <c r="C245" i="7"/>
  <c r="E239" i="7"/>
  <c r="F239" i="7" s="1"/>
  <c r="H200" i="7"/>
  <c r="J200" i="7"/>
  <c r="J206" i="7" s="1"/>
  <c r="E200" i="7"/>
  <c r="P200" i="7"/>
  <c r="P206" i="7" s="1"/>
  <c r="C206" i="7"/>
  <c r="Q200" i="7"/>
  <c r="Q206" i="7" s="1"/>
  <c r="O200" i="7"/>
  <c r="O206" i="7" s="1"/>
  <c r="N200" i="7"/>
  <c r="M265" i="7"/>
  <c r="M269" i="7" s="1"/>
  <c r="D196" i="7"/>
  <c r="H190" i="7"/>
  <c r="H196" i="7" s="1"/>
  <c r="E202" i="7"/>
  <c r="H202" i="7"/>
  <c r="J202" i="7"/>
  <c r="P202" i="7"/>
  <c r="O202" i="7"/>
  <c r="R202" i="7" s="1"/>
  <c r="Q202" i="7"/>
  <c r="N189" i="7"/>
  <c r="H217" i="7"/>
  <c r="J217" i="7"/>
  <c r="E217" i="7"/>
  <c r="P217" i="7"/>
  <c r="N217" i="7"/>
  <c r="Q217" i="7"/>
  <c r="O217" i="7"/>
  <c r="H214" i="7"/>
  <c r="J214" i="7"/>
  <c r="E214" i="7"/>
  <c r="P214" i="7"/>
  <c r="P220" i="7" s="1"/>
  <c r="O214" i="7"/>
  <c r="O220" i="7" s="1"/>
  <c r="C220" i="7"/>
  <c r="Q214" i="7"/>
  <c r="Q220" i="7" s="1"/>
  <c r="I250" i="7"/>
  <c r="L250" i="7"/>
  <c r="M250" i="7" s="1"/>
  <c r="G250" i="7"/>
  <c r="K250" i="7"/>
  <c r="E250" i="7"/>
  <c r="E201" i="7"/>
  <c r="H201" i="7"/>
  <c r="P201" i="7"/>
  <c r="J201" i="7"/>
  <c r="O201" i="7"/>
  <c r="N201" i="7"/>
  <c r="R201" i="7" s="1"/>
  <c r="K172" i="7"/>
  <c r="L252" i="7"/>
  <c r="M252" i="7" s="1"/>
  <c r="I252" i="7"/>
  <c r="G252" i="7"/>
  <c r="E252" i="7"/>
  <c r="K252" i="7"/>
  <c r="J189" i="7"/>
  <c r="L264" i="7"/>
  <c r="M264" i="7" s="1"/>
  <c r="E264" i="7"/>
  <c r="I264" i="7"/>
  <c r="G264" i="7"/>
  <c r="K264" i="7"/>
  <c r="N214" i="7"/>
  <c r="E253" i="7"/>
  <c r="J182" i="7"/>
  <c r="N176" i="7"/>
  <c r="N182" i="7" s="1"/>
  <c r="C152" i="7"/>
  <c r="C158" i="7" s="1"/>
  <c r="C109" i="7"/>
  <c r="C176" i="7"/>
  <c r="D182" i="7"/>
  <c r="H176" i="7"/>
  <c r="H182" i="7" s="1"/>
  <c r="E228" i="7"/>
  <c r="I228" i="7" s="1"/>
  <c r="K228" i="7" s="1"/>
  <c r="F244" i="7"/>
  <c r="E263" i="7"/>
  <c r="F238" i="7"/>
  <c r="J213" i="7"/>
  <c r="E240" i="7"/>
  <c r="I240" i="7" s="1"/>
  <c r="K240" i="7" s="1"/>
  <c r="F240" i="7"/>
  <c r="E243" i="7"/>
  <c r="I243" i="7" s="1"/>
  <c r="K243" i="7" s="1"/>
  <c r="E235" i="7"/>
  <c r="I235" i="7" s="1"/>
  <c r="K235" i="7" s="1"/>
  <c r="F235" i="7"/>
  <c r="E249" i="7"/>
  <c r="N190" i="7"/>
  <c r="N196" i="7" s="1"/>
  <c r="J196" i="7"/>
  <c r="C255" i="7"/>
  <c r="G255" i="7" s="1"/>
  <c r="L251" i="7"/>
  <c r="I251" i="7"/>
  <c r="K251" i="7"/>
  <c r="G251" i="7"/>
  <c r="F158" i="7"/>
  <c r="C166" i="7"/>
  <c r="C172" i="7" s="1"/>
  <c r="C190" i="7"/>
  <c r="C123" i="7"/>
  <c r="I232" i="7"/>
  <c r="M258" i="7"/>
  <c r="M262" i="7" s="1"/>
  <c r="L262" i="7"/>
  <c r="R212" i="7"/>
  <c r="N210" i="7"/>
  <c r="K257" i="7"/>
  <c r="L257" i="7"/>
  <c r="M257" i="7" s="1"/>
  <c r="G257" i="7"/>
  <c r="I257" i="7"/>
  <c r="R207" i="7"/>
  <c r="N213" i="7"/>
  <c r="L266" i="7"/>
  <c r="M266" i="7" s="1"/>
  <c r="K266" i="7"/>
  <c r="I266" i="7"/>
  <c r="E266" i="7"/>
  <c r="G266" i="7"/>
  <c r="H203" i="7"/>
  <c r="J203" i="7"/>
  <c r="E203" i="7"/>
  <c r="P203" i="7"/>
  <c r="N203" i="7"/>
  <c r="O203" i="7"/>
  <c r="Q203" i="7"/>
  <c r="C238" i="7"/>
  <c r="F228" i="7" l="1"/>
  <c r="R217" i="7"/>
  <c r="E231" i="7"/>
  <c r="I225" i="7"/>
  <c r="J220" i="7"/>
  <c r="E245" i="7"/>
  <c r="I239" i="7"/>
  <c r="F227" i="7"/>
  <c r="F231" i="7"/>
  <c r="I238" i="7"/>
  <c r="K232" i="7"/>
  <c r="K238" i="7" s="1"/>
  <c r="F243" i="7"/>
  <c r="F245" i="7" s="1"/>
  <c r="N220" i="7"/>
  <c r="R214" i="7"/>
  <c r="R220" i="7" s="1"/>
  <c r="L269" i="7"/>
  <c r="R210" i="7"/>
  <c r="R213" i="7"/>
  <c r="M213" i="7" s="1"/>
  <c r="M251" i="7"/>
  <c r="M255" i="7" s="1"/>
  <c r="L255" i="7"/>
  <c r="E238" i="7"/>
  <c r="F226" i="7"/>
  <c r="N206" i="7"/>
  <c r="R200" i="7"/>
  <c r="R203" i="7"/>
  <c r="M220" i="7" l="1"/>
  <c r="K239" i="7"/>
  <c r="K245" i="7" s="1"/>
  <c r="I245" i="7"/>
  <c r="K225" i="7"/>
  <c r="K231" i="7" s="1"/>
  <c r="I231" i="7"/>
  <c r="R206" i="7"/>
  <c r="M206" i="7" s="1"/>
</calcChain>
</file>

<file path=xl/sharedStrings.xml><?xml version="1.0" encoding="utf-8"?>
<sst xmlns="http://schemas.openxmlformats.org/spreadsheetml/2006/main" count="701" uniqueCount="195">
  <si>
    <t>animal</t>
  </si>
  <si>
    <t>ph</t>
    <phoneticPr fontId="0" type="noConversion"/>
  </si>
  <si>
    <t>rep</t>
    <phoneticPr fontId="4" type="noConversion"/>
  </si>
  <si>
    <t>period</t>
  </si>
  <si>
    <t>CH4gperd</t>
  </si>
  <si>
    <t>gperkg</t>
  </si>
  <si>
    <t>perDDMI</t>
  </si>
  <si>
    <t>perNDFI</t>
  </si>
  <si>
    <t>perDNDFI</t>
  </si>
  <si>
    <t>Ym</t>
  </si>
  <si>
    <t>total VFA</t>
    <phoneticPr fontId="0" type="noConversion"/>
  </si>
  <si>
    <t>acetic acid</t>
    <phoneticPr fontId="4" type="noConversion"/>
  </si>
  <si>
    <t>propionic acid</t>
    <phoneticPr fontId="4" type="noConversion"/>
  </si>
  <si>
    <t>iso-butyric acid</t>
    <phoneticPr fontId="0" type="noConversion"/>
  </si>
  <si>
    <t>butyric acid</t>
    <phoneticPr fontId="0" type="noConversion"/>
  </si>
  <si>
    <t>iso-valaric acid</t>
    <phoneticPr fontId="0" type="noConversion"/>
  </si>
  <si>
    <t>valaric acid</t>
    <phoneticPr fontId="0" type="noConversion"/>
  </si>
  <si>
    <t>3P FA</t>
  </si>
  <si>
    <t>no. 5 (ch1)</t>
    <phoneticPr fontId="3" type="noConversion"/>
  </si>
  <si>
    <t>2P FA</t>
  </si>
  <si>
    <t>no. 7 (ch4)</t>
    <phoneticPr fontId="3" type="noConversion"/>
  </si>
  <si>
    <t>1P FA</t>
    <phoneticPr fontId="13" type="noConversion"/>
  </si>
  <si>
    <t>no. 6 (ch2)</t>
    <phoneticPr fontId="3" type="noConversion"/>
  </si>
  <si>
    <t>no. 1 (ch1)</t>
    <phoneticPr fontId="3" type="noConversion"/>
  </si>
  <si>
    <t>no. 3 (ch4)</t>
    <phoneticPr fontId="3" type="noConversion"/>
  </si>
  <si>
    <t>no. 2 (ch2)</t>
    <phoneticPr fontId="3" type="noConversion"/>
  </si>
  <si>
    <t>3P LAB</t>
  </si>
  <si>
    <t>2P LAB</t>
  </si>
  <si>
    <t>1P LAB</t>
    <phoneticPr fontId="13" type="noConversion"/>
  </si>
  <si>
    <t>3P control</t>
    <phoneticPr fontId="3" type="noConversion"/>
  </si>
  <si>
    <t>2P control</t>
    <phoneticPr fontId="13" type="noConversion"/>
  </si>
  <si>
    <t>1P control</t>
    <phoneticPr fontId="13" type="noConversion"/>
  </si>
  <si>
    <t>%</t>
    <phoneticPr fontId="13" type="noConversion"/>
  </si>
  <si>
    <t>balance</t>
    <phoneticPr fontId="13" type="noConversion"/>
  </si>
  <si>
    <t>heat</t>
    <phoneticPr fontId="13" type="noConversion"/>
  </si>
  <si>
    <t>methane</t>
    <phoneticPr fontId="13" type="noConversion"/>
  </si>
  <si>
    <t>%</t>
    <phoneticPr fontId="3" type="noConversion"/>
  </si>
  <si>
    <t>urine</t>
    <phoneticPr fontId="13" type="noConversion"/>
  </si>
  <si>
    <t>feces</t>
    <phoneticPr fontId="13" type="noConversion"/>
  </si>
  <si>
    <t>Intake</t>
    <phoneticPr fontId="13" type="noConversion"/>
  </si>
  <si>
    <t>Energy</t>
    <phoneticPr fontId="13" type="noConversion"/>
  </si>
  <si>
    <t>RE</t>
    <phoneticPr fontId="19" type="noConversion"/>
  </si>
  <si>
    <t>HP</t>
    <phoneticPr fontId="19" type="noConversion"/>
  </si>
  <si>
    <t>ME</t>
    <phoneticPr fontId="19" type="noConversion"/>
  </si>
  <si>
    <t>Methane</t>
  </si>
  <si>
    <t>DE/GE</t>
    <phoneticPr fontId="19" type="noConversion"/>
  </si>
  <si>
    <t>ME(%)</t>
    <phoneticPr fontId="3" type="noConversion"/>
  </si>
  <si>
    <t>DE(%)</t>
    <phoneticPr fontId="3" type="noConversion"/>
  </si>
  <si>
    <t>3P(FA)</t>
    <phoneticPr fontId="13" type="noConversion"/>
  </si>
  <si>
    <t>2P(FA)</t>
    <phoneticPr fontId="13" type="noConversion"/>
  </si>
  <si>
    <t>1P(FA)</t>
    <phoneticPr fontId="13" type="noConversion"/>
  </si>
  <si>
    <t>3P(LAB)</t>
    <phoneticPr fontId="13" type="noConversion"/>
  </si>
  <si>
    <t>2P(LAB)</t>
    <phoneticPr fontId="13" type="noConversion"/>
  </si>
  <si>
    <t>1P(LAB)</t>
    <phoneticPr fontId="13" type="noConversion"/>
  </si>
  <si>
    <t>3P(Control)</t>
    <phoneticPr fontId="13" type="noConversion"/>
  </si>
  <si>
    <t>2P(Control)</t>
    <phoneticPr fontId="13" type="noConversion"/>
  </si>
  <si>
    <t>1P(Control)</t>
    <phoneticPr fontId="13" type="noConversion"/>
  </si>
  <si>
    <t>N balance</t>
    <phoneticPr fontId="19" type="noConversion"/>
  </si>
  <si>
    <t>N</t>
    <phoneticPr fontId="19" type="noConversion"/>
  </si>
  <si>
    <t>DM(g)</t>
    <phoneticPr fontId="19" type="noConversion"/>
  </si>
  <si>
    <t>sample</t>
    <phoneticPr fontId="19" type="noConversion"/>
  </si>
  <si>
    <t>Ym</t>
    <phoneticPr fontId="3" type="noConversion"/>
  </si>
  <si>
    <t>per DNDFI</t>
    <phoneticPr fontId="3" type="noConversion"/>
  </si>
  <si>
    <t>per NDFI</t>
    <phoneticPr fontId="3" type="noConversion"/>
  </si>
  <si>
    <t>per DDMI</t>
    <phoneticPr fontId="3" type="noConversion"/>
  </si>
  <si>
    <t>per DMI (kg)</t>
    <phoneticPr fontId="3" type="noConversion"/>
  </si>
  <si>
    <t>CH4(g/d)</t>
    <phoneticPr fontId="3" type="noConversion"/>
  </si>
  <si>
    <t>N</t>
    <phoneticPr fontId="13" type="noConversion"/>
  </si>
  <si>
    <t>C</t>
    <phoneticPr fontId="13" type="noConversion"/>
  </si>
  <si>
    <t>GE</t>
    <phoneticPr fontId="19" type="noConversion"/>
  </si>
  <si>
    <t>ADF</t>
    <phoneticPr fontId="19" type="noConversion"/>
  </si>
  <si>
    <t>NDF</t>
    <phoneticPr fontId="19" type="noConversion"/>
  </si>
  <si>
    <t>NFE</t>
    <phoneticPr fontId="19" type="noConversion"/>
  </si>
  <si>
    <t>OM</t>
    <phoneticPr fontId="3" type="noConversion"/>
  </si>
  <si>
    <t>kcal</t>
    <phoneticPr fontId="19" type="noConversion"/>
  </si>
  <si>
    <t>N(g/d)</t>
    <phoneticPr fontId="19" type="noConversion"/>
  </si>
  <si>
    <t>Kcal</t>
    <phoneticPr fontId="19" type="noConversion"/>
  </si>
  <si>
    <t>cal</t>
    <phoneticPr fontId="19" type="noConversion"/>
  </si>
  <si>
    <t>C</t>
    <phoneticPr fontId="19" type="noConversion"/>
  </si>
  <si>
    <t>N</t>
  </si>
  <si>
    <t>C</t>
  </si>
  <si>
    <t>RS-FA</t>
    <phoneticPr fontId="13" type="noConversion"/>
  </si>
  <si>
    <t>RS-LAB</t>
    <phoneticPr fontId="13" type="noConversion"/>
  </si>
  <si>
    <t>RS-Control</t>
    <phoneticPr fontId="3" type="noConversion"/>
  </si>
  <si>
    <t>Contrate</t>
    <phoneticPr fontId="3" type="noConversion"/>
  </si>
  <si>
    <t>DM</t>
    <phoneticPr fontId="19" type="noConversion"/>
  </si>
  <si>
    <t>Concentrate</t>
    <phoneticPr fontId="3" type="noConversion"/>
  </si>
  <si>
    <t>RS-FA</t>
    <phoneticPr fontId="19" type="noConversion"/>
  </si>
  <si>
    <t>(kg)</t>
    <phoneticPr fontId="19" type="noConversion"/>
  </si>
  <si>
    <t>FA</t>
    <phoneticPr fontId="3" type="noConversion"/>
  </si>
  <si>
    <t>RS-LAB</t>
    <phoneticPr fontId="19" type="noConversion"/>
  </si>
  <si>
    <t>LAB</t>
    <phoneticPr fontId="3" type="noConversion"/>
  </si>
  <si>
    <t>RS-control</t>
    <phoneticPr fontId="19" type="noConversion"/>
  </si>
  <si>
    <t>CON</t>
    <phoneticPr fontId="19" type="noConversion"/>
  </si>
  <si>
    <t xml:space="preserve">In vivo 실험 (CD종합) </t>
    <phoneticPr fontId="13" type="noConversion"/>
  </si>
  <si>
    <t>○ body weight, Feed intake, manure excretion</t>
    <phoneticPr fontId="3" type="noConversion"/>
  </si>
  <si>
    <t>Feed fed amt.(as fed base g/d)</t>
    <phoneticPr fontId="19" type="noConversion"/>
  </si>
  <si>
    <t>Feed amount(g/d)</t>
  </si>
  <si>
    <t>DM feed amount(g/d)</t>
  </si>
  <si>
    <t>Manure excretion amount(g/d)</t>
  </si>
  <si>
    <t>Raw</t>
  </si>
  <si>
    <t>DM</t>
  </si>
  <si>
    <t>DM(g)</t>
  </si>
  <si>
    <t>Urine excretion(g/d)</t>
  </si>
  <si>
    <t>Manure sample</t>
  </si>
  <si>
    <t>Raw sample(g)</t>
  </si>
  <si>
    <t>○ Feed chemial composition (DM)</t>
    <phoneticPr fontId="3" type="noConversion"/>
  </si>
  <si>
    <t>total</t>
  </si>
  <si>
    <t>EE</t>
    <phoneticPr fontId="19" type="noConversion"/>
  </si>
  <si>
    <t>CF</t>
    <phoneticPr fontId="19" type="noConversion"/>
  </si>
  <si>
    <t>ash</t>
    <phoneticPr fontId="19" type="noConversion"/>
  </si>
  <si>
    <t>Feed residue</t>
    <phoneticPr fontId="19" type="noConversion"/>
  </si>
  <si>
    <t>CP</t>
    <phoneticPr fontId="19" type="noConversion"/>
  </si>
  <si>
    <t>1st miosture</t>
    <phoneticPr fontId="19" type="noConversion"/>
  </si>
  <si>
    <t>2nd miosture</t>
    <phoneticPr fontId="19" type="noConversion"/>
  </si>
  <si>
    <t>Manure chemical composition</t>
    <phoneticPr fontId="3" type="noConversion"/>
  </si>
  <si>
    <t>○ manure and urine chemical compostion(Manure DM, %)</t>
    <phoneticPr fontId="19" type="noConversion"/>
  </si>
  <si>
    <t>%DM</t>
  </si>
  <si>
    <t>○Nurient intake(DM, g)</t>
    <phoneticPr fontId="19" type="noConversion"/>
  </si>
  <si>
    <t>Mean</t>
  </si>
  <si>
    <t xml:space="preserve">Mean
</t>
  </si>
  <si>
    <t>뇨 
성 
분</t>
  </si>
  <si>
    <t>Ash</t>
    <phoneticPr fontId="19" type="noConversion"/>
  </si>
  <si>
    <t>Manure</t>
    <phoneticPr fontId="3" type="noConversion"/>
  </si>
  <si>
    <t>Urine</t>
    <phoneticPr fontId="3" type="noConversion"/>
  </si>
  <si>
    <t>○ Manure and urine nutrient excretion amount(DM, g)</t>
    <phoneticPr fontId="19" type="noConversion"/>
  </si>
  <si>
    <t>○ Digestibility(%)</t>
    <phoneticPr fontId="19" type="noConversion"/>
  </si>
  <si>
    <t>○Nutrient intake(per metabolic BW)</t>
    <phoneticPr fontId="19" type="noConversion"/>
  </si>
  <si>
    <t>○N balance (per metabolic BW)</t>
    <phoneticPr fontId="19" type="noConversion"/>
  </si>
  <si>
    <t>○ energy cumulation ratio (kcal)</t>
    <phoneticPr fontId="19" type="noConversion"/>
  </si>
  <si>
    <t>Energyt intake</t>
    <phoneticPr fontId="19" type="noConversion"/>
  </si>
  <si>
    <t>Energy in manure</t>
    <phoneticPr fontId="19" type="noConversion"/>
  </si>
  <si>
    <t>Energy in urine</t>
    <phoneticPr fontId="19" type="noConversion"/>
  </si>
  <si>
    <t>Manure</t>
    <phoneticPr fontId="19" type="noConversion"/>
  </si>
  <si>
    <t>Urine</t>
    <phoneticPr fontId="19" type="noConversion"/>
  </si>
  <si>
    <t>Total</t>
    <phoneticPr fontId="3" type="noConversion"/>
  </si>
  <si>
    <t>RS-Control</t>
  </si>
  <si>
    <t>RS-LAB</t>
  </si>
  <si>
    <t>RS-FA</t>
  </si>
  <si>
    <t>trt 1</t>
    <phoneticPr fontId="3" type="noConversion"/>
  </si>
  <si>
    <t>trt 2</t>
    <phoneticPr fontId="3" type="noConversion"/>
  </si>
  <si>
    <t>trt 3</t>
    <phoneticPr fontId="3" type="noConversion"/>
  </si>
  <si>
    <t>Treatment</t>
  </si>
  <si>
    <t>Treatment</t>
    <phoneticPr fontId="13" type="noConversion"/>
  </si>
  <si>
    <t>Initial BW</t>
    <phoneticPr fontId="19" type="noConversion"/>
  </si>
  <si>
    <t>Final BW</t>
    <phoneticPr fontId="19" type="noConversion"/>
  </si>
  <si>
    <t>Metabolic BW</t>
  </si>
  <si>
    <t>Metabolic BW</t>
    <phoneticPr fontId="19" type="noConversion"/>
  </si>
  <si>
    <t>Mean
BW(kg)</t>
    <phoneticPr fontId="3" type="noConversion"/>
  </si>
  <si>
    <t>Sample</t>
    <phoneticPr fontId="19" type="noConversion"/>
  </si>
  <si>
    <t>Mean</t>
    <phoneticPr fontId="3" type="noConversion"/>
  </si>
  <si>
    <t>○ energy cumulation ratio(kcal/BW^0.75)</t>
    <phoneticPr fontId="19" type="noConversion"/>
  </si>
  <si>
    <t>Ammonia nitrogen</t>
    <phoneticPr fontId="4" type="noConversion"/>
  </si>
  <si>
    <t>treatment</t>
    <phoneticPr fontId="4" type="noConversion"/>
  </si>
  <si>
    <t>replication</t>
    <phoneticPr fontId="4" type="noConversion"/>
  </si>
  <si>
    <t>RS</t>
    <phoneticPr fontId="3" type="noConversion"/>
  </si>
  <si>
    <t>experimental code name</t>
    <phoneticPr fontId="3" type="noConversion"/>
  </si>
  <si>
    <t>Lactic acid bacterial</t>
    <phoneticPr fontId="3" type="noConversion"/>
  </si>
  <si>
    <t>Sotium Formate</t>
    <phoneticPr fontId="3" type="noConversion"/>
  </si>
  <si>
    <t>Control, LAB and FA treatment effect</t>
    <phoneticPr fontId="3" type="noConversion"/>
  </si>
  <si>
    <t>Each experimental periods</t>
    <phoneticPr fontId="3" type="noConversion"/>
  </si>
  <si>
    <t>each animal</t>
    <phoneticPr fontId="3" type="noConversion"/>
  </si>
  <si>
    <t>methane g per day</t>
    <phoneticPr fontId="3" type="noConversion"/>
  </si>
  <si>
    <t>methane g per feed kg</t>
    <phoneticPr fontId="3" type="noConversion"/>
  </si>
  <si>
    <t>methane g per digestible dry matter intake</t>
    <phoneticPr fontId="3" type="noConversion"/>
  </si>
  <si>
    <t>methane g per neutrial detergent fiber dry matter intake</t>
    <phoneticPr fontId="3" type="noConversion"/>
  </si>
  <si>
    <t>methane g per digestibile neutrial detergent fiber dry matter intake</t>
    <phoneticPr fontId="3" type="noConversion"/>
  </si>
  <si>
    <t>methane conversion factor</t>
  </si>
  <si>
    <t xml:space="preserve">BW </t>
    <phoneticPr fontId="3" type="noConversion"/>
  </si>
  <si>
    <t>body weight</t>
    <phoneticPr fontId="3" type="noConversion"/>
  </si>
  <si>
    <t>BW^0.75</t>
    <phoneticPr fontId="3" type="noConversion"/>
  </si>
  <si>
    <t>CON</t>
    <phoneticPr fontId="3" type="noConversion"/>
  </si>
  <si>
    <t>control</t>
    <phoneticPr fontId="3" type="noConversion"/>
  </si>
  <si>
    <t xml:space="preserve">DM </t>
    <phoneticPr fontId="3" type="noConversion"/>
  </si>
  <si>
    <t>Dry matter</t>
    <phoneticPr fontId="3" type="noConversion"/>
  </si>
  <si>
    <t>CP</t>
  </si>
  <si>
    <t>EE</t>
  </si>
  <si>
    <t>CF</t>
  </si>
  <si>
    <t>NFE</t>
  </si>
  <si>
    <t>NDF</t>
  </si>
  <si>
    <t>ADF</t>
  </si>
  <si>
    <t>cal</t>
  </si>
  <si>
    <t>Crude protein</t>
    <phoneticPr fontId="3" type="noConversion"/>
  </si>
  <si>
    <t>Ether extract</t>
    <phoneticPr fontId="3" type="noConversion"/>
  </si>
  <si>
    <t>Crude fiber</t>
    <phoneticPr fontId="3" type="noConversion"/>
  </si>
  <si>
    <t>Nitrogen Free Extract (NFE)</t>
  </si>
  <si>
    <t>Neutral detergent fiber</t>
    <phoneticPr fontId="3" type="noConversion"/>
  </si>
  <si>
    <t>Acid detergent fiber</t>
    <phoneticPr fontId="3" type="noConversion"/>
  </si>
  <si>
    <t>Kcal</t>
    <phoneticPr fontId="3" type="noConversion"/>
  </si>
  <si>
    <t>DE</t>
    <phoneticPr fontId="3" type="noConversion"/>
  </si>
  <si>
    <t>GE</t>
    <phoneticPr fontId="3" type="noConversion"/>
  </si>
  <si>
    <t>ME</t>
    <phoneticPr fontId="3" type="noConversion"/>
  </si>
  <si>
    <t>Gross energy</t>
    <phoneticPr fontId="3" type="noConversion"/>
  </si>
  <si>
    <t>Digestible energy</t>
    <phoneticPr fontId="3" type="noConversion"/>
  </si>
  <si>
    <t>Metabolic energy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</si>
</sst>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0.00_);[Red]\(0.00\)"/>
    <numFmt numFmtId="177" formatCode="0.0_);[Red]\(0.0\)"/>
    <numFmt numFmtId="178" formatCode="0_);[Red]\(0\)"/>
    <numFmt numFmtId="179" formatCode="0.00_ "/>
    <numFmt numFmtId="180" formatCode="0.0000_);[Red]\(0.0000\)"/>
    <numFmt numFmtId="181" formatCode="0.000_);[Red]\(0.000\)"/>
    <numFmt numFmtId="182" formatCode="0.00;_倀"/>
  </numFmts>
  <fonts count="2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2"/>
      <color rgb="FF000000"/>
      <name val="Times New Roman"/>
      <family val="1"/>
    </font>
    <font>
      <sz val="8"/>
      <color theme="1"/>
      <name val="Arial"/>
      <family val="2"/>
    </font>
    <font>
      <sz val="11"/>
      <color theme="1"/>
      <name val="맑은 고딕"/>
      <family val="3"/>
      <charset val="129"/>
      <scheme val="minor"/>
    </font>
    <font>
      <sz val="12"/>
      <color theme="1"/>
      <name val="Times New Roman"/>
      <family val="1"/>
    </font>
    <font>
      <sz val="12"/>
      <color theme="1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9"/>
      <color indexed="10"/>
      <name val="맑은 고딕"/>
      <family val="3"/>
      <charset val="129"/>
      <scheme val="minor"/>
    </font>
    <font>
      <sz val="8"/>
      <name val="돋움"/>
      <family val="3"/>
      <charset val="129"/>
    </font>
    <font>
      <sz val="12"/>
      <name val="바탕체"/>
      <family val="1"/>
      <charset val="129"/>
    </font>
    <font>
      <sz val="9"/>
      <color indexed="10"/>
      <name val="맑은 고딕"/>
      <family val="3"/>
      <charset val="129"/>
      <scheme val="minor"/>
    </font>
    <font>
      <b/>
      <sz val="9"/>
      <color theme="0"/>
      <name val="맑은 고딕"/>
      <family val="3"/>
      <charset val="129"/>
      <scheme val="minor"/>
    </font>
    <font>
      <b/>
      <sz val="9"/>
      <color indexed="12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8"/>
      <name val="바탕"/>
      <family val="1"/>
      <charset val="129"/>
    </font>
    <font>
      <sz val="9"/>
      <color theme="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9"/>
      <color rgb="FF0070C0"/>
      <name val="맑은 고딕"/>
      <family val="3"/>
      <charset val="129"/>
      <scheme val="minor"/>
    </font>
    <font>
      <b/>
      <sz val="9"/>
      <color indexed="9"/>
      <name val="맑은 고딕"/>
      <family val="3"/>
      <charset val="129"/>
      <scheme val="minor"/>
    </font>
    <font>
      <sz val="11"/>
      <color theme="1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/>
    <xf numFmtId="0" fontId="1" fillId="0" borderId="0"/>
    <xf numFmtId="41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14" fillId="0" borderId="0"/>
  </cellStyleXfs>
  <cellXfs count="160">
    <xf numFmtId="0" fontId="0" fillId="0" borderId="0" xfId="0">
      <alignment vertical="center"/>
    </xf>
    <xf numFmtId="0" fontId="2" fillId="0" borderId="0" xfId="1"/>
    <xf numFmtId="2" fontId="2" fillId="0" borderId="0" xfId="1" applyNumberFormat="1"/>
    <xf numFmtId="0" fontId="5" fillId="0" borderId="0" xfId="1" applyFont="1" applyAlignment="1">
      <alignment horizontal="center" vertical="center" wrapText="1"/>
    </xf>
    <xf numFmtId="2" fontId="1" fillId="0" borderId="0" xfId="1" applyNumberFormat="1" applyFont="1" applyAlignment="1">
      <alignment vertical="center"/>
    </xf>
    <xf numFmtId="2" fontId="1" fillId="0" borderId="0" xfId="2" applyNumberFormat="1" applyAlignment="1">
      <alignment vertical="center"/>
    </xf>
    <xf numFmtId="2" fontId="1" fillId="0" borderId="0" xfId="1" applyNumberFormat="1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1" fillId="0" borderId="0" xfId="2" applyAlignment="1">
      <alignment vertical="center"/>
    </xf>
    <xf numFmtId="2" fontId="2" fillId="0" borderId="0" xfId="2" applyNumberFormat="1" applyFont="1" applyAlignment="1">
      <alignment horizontal="right" vertical="center"/>
    </xf>
    <xf numFmtId="2" fontId="1" fillId="0" borderId="0" xfId="2" applyNumberFormat="1" applyAlignment="1">
      <alignment horizontal="center" vertical="center"/>
    </xf>
    <xf numFmtId="2" fontId="6" fillId="0" borderId="0" xfId="2" applyNumberFormat="1" applyFont="1" applyAlignment="1">
      <alignment horizontal="center"/>
    </xf>
    <xf numFmtId="2" fontId="2" fillId="0" borderId="0" xfId="2" applyNumberFormat="1" applyFont="1" applyAlignment="1">
      <alignment vertical="center"/>
    </xf>
    <xf numFmtId="2" fontId="7" fillId="0" borderId="0" xfId="3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9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7" fillId="0" borderId="0" xfId="5" applyAlignment="1">
      <alignment vertical="center"/>
    </xf>
    <xf numFmtId="176" fontId="10" fillId="3" borderId="0" xfId="0" applyNumberFormat="1" applyFont="1" applyFill="1" applyAlignment="1">
      <alignment horizontal="center" vertical="center"/>
    </xf>
    <xf numFmtId="176" fontId="11" fillId="3" borderId="0" xfId="0" applyNumberFormat="1" applyFont="1" applyFill="1" applyAlignment="1">
      <alignment horizontal="center" vertical="center"/>
    </xf>
    <xf numFmtId="177" fontId="11" fillId="3" borderId="0" xfId="0" applyNumberFormat="1" applyFont="1" applyFill="1" applyAlignment="1">
      <alignment horizontal="center" vertical="center"/>
    </xf>
    <xf numFmtId="177" fontId="11" fillId="4" borderId="1" xfId="0" applyNumberFormat="1" applyFont="1" applyFill="1" applyBorder="1" applyAlignment="1">
      <alignment horizontal="center" vertical="center"/>
    </xf>
    <xf numFmtId="177" fontId="12" fillId="4" borderId="1" xfId="0" applyNumberFormat="1" applyFont="1" applyFill="1" applyBorder="1" applyAlignment="1">
      <alignment horizontal="center" vertical="center"/>
    </xf>
    <xf numFmtId="176" fontId="10" fillId="4" borderId="1" xfId="0" applyNumberFormat="1" applyFont="1" applyFill="1" applyBorder="1" applyAlignment="1">
      <alignment horizontal="center" vertical="center"/>
    </xf>
    <xf numFmtId="178" fontId="11" fillId="6" borderId="1" xfId="6" applyNumberFormat="1" applyFont="1" applyFill="1" applyBorder="1" applyAlignment="1">
      <alignment horizontal="left" vertical="center" wrapText="1"/>
    </xf>
    <xf numFmtId="177" fontId="11" fillId="5" borderId="1" xfId="0" applyNumberFormat="1" applyFont="1" applyFill="1" applyBorder="1" applyAlignment="1">
      <alignment horizontal="center" vertical="center"/>
    </xf>
    <xf numFmtId="176" fontId="10" fillId="5" borderId="1" xfId="0" applyNumberFormat="1" applyFont="1" applyFill="1" applyBorder="1" applyAlignment="1">
      <alignment horizontal="center" vertical="center"/>
    </xf>
    <xf numFmtId="176" fontId="15" fillId="3" borderId="0" xfId="0" applyNumberFormat="1" applyFont="1" applyFill="1" applyAlignment="1">
      <alignment horizontal="center" vertical="center"/>
    </xf>
    <xf numFmtId="178" fontId="11" fillId="4" borderId="1" xfId="0" applyNumberFormat="1" applyFont="1" applyFill="1" applyBorder="1" applyAlignment="1">
      <alignment horizontal="left" vertical="center"/>
    </xf>
    <xf numFmtId="178" fontId="11" fillId="4" borderId="1" xfId="6" applyNumberFormat="1" applyFont="1" applyFill="1" applyBorder="1" applyAlignment="1">
      <alignment horizontal="left" vertical="center" wrapText="1"/>
    </xf>
    <xf numFmtId="176" fontId="10" fillId="2" borderId="1" xfId="0" applyNumberFormat="1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/>
    </xf>
    <xf numFmtId="176" fontId="16" fillId="7" borderId="1" xfId="0" applyNumberFormat="1" applyFont="1" applyFill="1" applyBorder="1" applyAlignment="1">
      <alignment horizontal="center" vertical="center"/>
    </xf>
    <xf numFmtId="2" fontId="17" fillId="3" borderId="0" xfId="0" applyNumberFormat="1" applyFont="1" applyFill="1" applyAlignment="1">
      <alignment horizontal="center" vertical="center"/>
    </xf>
    <xf numFmtId="178" fontId="17" fillId="3" borderId="0" xfId="0" applyNumberFormat="1" applyFont="1" applyFill="1" applyAlignment="1">
      <alignment horizontal="center" vertical="center"/>
    </xf>
    <xf numFmtId="178" fontId="11" fillId="3" borderId="0" xfId="0" applyNumberFormat="1" applyFont="1" applyFill="1" applyAlignment="1">
      <alignment horizontal="left" vertical="center"/>
    </xf>
    <xf numFmtId="176" fontId="18" fillId="3" borderId="0" xfId="0" applyNumberFormat="1" applyFont="1" applyFill="1" applyAlignment="1">
      <alignment horizontal="center" vertical="center"/>
    </xf>
    <xf numFmtId="176" fontId="12" fillId="4" borderId="1" xfId="0" applyNumberFormat="1" applyFont="1" applyFill="1" applyBorder="1" applyAlignment="1">
      <alignment horizontal="center" vertical="center"/>
    </xf>
    <xf numFmtId="179" fontId="11" fillId="4" borderId="1" xfId="0" applyNumberFormat="1" applyFont="1" applyFill="1" applyBorder="1" applyAlignment="1">
      <alignment horizontal="center" vertical="center"/>
    </xf>
    <xf numFmtId="176" fontId="11" fillId="4" borderId="1" xfId="0" applyNumberFormat="1" applyFont="1" applyFill="1" applyBorder="1" applyAlignment="1">
      <alignment horizontal="center" vertical="center"/>
    </xf>
    <xf numFmtId="176" fontId="12" fillId="5" borderId="1" xfId="0" applyNumberFormat="1" applyFont="1" applyFill="1" applyBorder="1" applyAlignment="1">
      <alignment horizontal="center" vertical="center"/>
    </xf>
    <xf numFmtId="176" fontId="11" fillId="5" borderId="1" xfId="0" applyNumberFormat="1" applyFont="1" applyFill="1" applyBorder="1" applyAlignment="1">
      <alignment horizontal="center" vertical="center"/>
    </xf>
    <xf numFmtId="179" fontId="11" fillId="5" borderId="1" xfId="0" applyNumberFormat="1" applyFont="1" applyFill="1" applyBorder="1" applyAlignment="1">
      <alignment horizontal="center" vertical="center"/>
    </xf>
    <xf numFmtId="176" fontId="18" fillId="5" borderId="1" xfId="0" applyNumberFormat="1" applyFont="1" applyFill="1" applyBorder="1" applyAlignment="1">
      <alignment horizontal="center" vertical="center"/>
    </xf>
    <xf numFmtId="179" fontId="11" fillId="3" borderId="0" xfId="0" applyNumberFormat="1" applyFont="1" applyFill="1" applyAlignment="1">
      <alignment horizontal="center" vertical="center"/>
    </xf>
    <xf numFmtId="176" fontId="11" fillId="2" borderId="1" xfId="0" quotePrefix="1" applyNumberFormat="1" applyFont="1" applyFill="1" applyBorder="1" applyAlignment="1">
      <alignment horizontal="center" vertical="center"/>
    </xf>
    <xf numFmtId="176" fontId="17" fillId="3" borderId="0" xfId="0" applyNumberFormat="1" applyFont="1" applyFill="1" applyAlignment="1">
      <alignment horizontal="center" vertical="center"/>
    </xf>
    <xf numFmtId="176" fontId="11" fillId="3" borderId="0" xfId="0" applyNumberFormat="1" applyFont="1" applyFill="1">
      <alignment vertical="center"/>
    </xf>
    <xf numFmtId="176" fontId="16" fillId="7" borderId="1" xfId="0" applyNumberFormat="1" applyFont="1" applyFill="1" applyBorder="1">
      <alignment vertical="center"/>
    </xf>
    <xf numFmtId="177" fontId="18" fillId="5" borderId="1" xfId="0" applyNumberFormat="1" applyFont="1" applyFill="1" applyBorder="1" applyAlignment="1">
      <alignment horizontal="center" vertical="center"/>
    </xf>
    <xf numFmtId="0" fontId="10" fillId="3" borderId="0" xfId="0" applyFont="1" applyFill="1">
      <alignment vertical="center"/>
    </xf>
    <xf numFmtId="0" fontId="20" fillId="7" borderId="0" xfId="0" applyFont="1" applyFill="1">
      <alignment vertical="center"/>
    </xf>
    <xf numFmtId="176" fontId="16" fillId="7" borderId="0" xfId="0" applyNumberFormat="1" applyFont="1" applyFill="1">
      <alignment vertical="center"/>
    </xf>
    <xf numFmtId="176" fontId="21" fillId="4" borderId="1" xfId="0" applyNumberFormat="1" applyFont="1" applyFill="1" applyBorder="1" applyAlignment="1">
      <alignment horizontal="center" vertical="center"/>
    </xf>
    <xf numFmtId="176" fontId="18" fillId="4" borderId="1" xfId="0" applyNumberFormat="1" applyFont="1" applyFill="1" applyBorder="1" applyAlignment="1">
      <alignment horizontal="center" vertical="center"/>
    </xf>
    <xf numFmtId="176" fontId="11" fillId="8" borderId="1" xfId="0" applyNumberFormat="1" applyFont="1" applyFill="1" applyBorder="1" applyAlignment="1">
      <alignment horizontal="center" vertical="center"/>
    </xf>
    <xf numFmtId="178" fontId="11" fillId="9" borderId="1" xfId="0" applyNumberFormat="1" applyFont="1" applyFill="1" applyBorder="1" applyAlignment="1">
      <alignment horizontal="left" vertical="center"/>
    </xf>
    <xf numFmtId="178" fontId="11" fillId="10" borderId="1" xfId="0" applyNumberFormat="1" applyFont="1" applyFill="1" applyBorder="1" applyAlignment="1">
      <alignment horizontal="left" vertical="center"/>
    </xf>
    <xf numFmtId="178" fontId="11" fillId="11" borderId="1" xfId="0" applyNumberFormat="1" applyFont="1" applyFill="1" applyBorder="1" applyAlignment="1">
      <alignment horizontal="left" vertical="center"/>
    </xf>
    <xf numFmtId="180" fontId="10" fillId="3" borderId="0" xfId="0" applyNumberFormat="1" applyFont="1" applyFill="1" applyAlignment="1">
      <alignment horizontal="center" vertical="center"/>
    </xf>
    <xf numFmtId="181" fontId="10" fillId="3" borderId="0" xfId="0" applyNumberFormat="1" applyFont="1" applyFill="1" applyAlignment="1">
      <alignment horizontal="center" vertical="center"/>
    </xf>
    <xf numFmtId="176" fontId="18" fillId="2" borderId="1" xfId="0" applyNumberFormat="1" applyFont="1" applyFill="1" applyBorder="1" applyAlignment="1">
      <alignment horizontal="center" vertical="center"/>
    </xf>
    <xf numFmtId="177" fontId="12" fillId="5" borderId="1" xfId="0" applyNumberFormat="1" applyFont="1" applyFill="1" applyBorder="1" applyAlignment="1">
      <alignment horizontal="center" vertical="center"/>
    </xf>
    <xf numFmtId="178" fontId="22" fillId="4" borderId="1" xfId="0" applyNumberFormat="1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 wrapText="1"/>
    </xf>
    <xf numFmtId="177" fontId="18" fillId="4" borderId="1" xfId="0" applyNumberFormat="1" applyFont="1" applyFill="1" applyBorder="1" applyAlignment="1">
      <alignment horizontal="center" vertical="center"/>
    </xf>
    <xf numFmtId="176" fontId="10" fillId="3" borderId="0" xfId="0" applyNumberFormat="1" applyFont="1" applyFill="1">
      <alignment vertical="center"/>
    </xf>
    <xf numFmtId="176" fontId="11" fillId="3" borderId="0" xfId="0" quotePrefix="1" applyNumberFormat="1" applyFont="1" applyFill="1">
      <alignment vertical="center"/>
    </xf>
    <xf numFmtId="176" fontId="16" fillId="7" borderId="1" xfId="0" quotePrefix="1" applyNumberFormat="1" applyFont="1" applyFill="1" applyBorder="1">
      <alignment vertical="center"/>
    </xf>
    <xf numFmtId="176" fontId="12" fillId="3" borderId="0" xfId="0" applyNumberFormat="1" applyFont="1" applyFill="1" applyAlignment="1">
      <alignment horizontal="center" vertical="center"/>
    </xf>
    <xf numFmtId="176" fontId="12" fillId="9" borderId="1" xfId="0" applyNumberFormat="1" applyFont="1" applyFill="1" applyBorder="1" applyAlignment="1">
      <alignment horizontal="center" vertical="center"/>
    </xf>
    <xf numFmtId="176" fontId="12" fillId="10" borderId="1" xfId="0" applyNumberFormat="1" applyFont="1" applyFill="1" applyBorder="1" applyAlignment="1">
      <alignment horizontal="center" vertical="center"/>
    </xf>
    <xf numFmtId="176" fontId="12" fillId="11" borderId="1" xfId="0" applyNumberFormat="1" applyFont="1" applyFill="1" applyBorder="1" applyAlignment="1">
      <alignment horizontal="center" vertical="center"/>
    </xf>
    <xf numFmtId="2" fontId="11" fillId="3" borderId="0" xfId="0" applyNumberFormat="1" applyFont="1" applyFill="1" applyAlignment="1">
      <alignment horizontal="center" vertical="center"/>
    </xf>
    <xf numFmtId="177" fontId="11" fillId="4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left" vertical="center"/>
    </xf>
    <xf numFmtId="176" fontId="11" fillId="3" borderId="0" xfId="6" applyNumberFormat="1" applyFont="1" applyFill="1" applyAlignment="1">
      <alignment horizontal="center" vertical="center"/>
    </xf>
    <xf numFmtId="177" fontId="12" fillId="11" borderId="1" xfId="0" applyNumberFormat="1" applyFont="1" applyFill="1" applyBorder="1" applyAlignment="1">
      <alignment horizontal="center" vertical="center"/>
    </xf>
    <xf numFmtId="177" fontId="11" fillId="11" borderId="1" xfId="0" applyNumberFormat="1" applyFont="1" applyFill="1" applyBorder="1" applyAlignment="1">
      <alignment horizontal="center" vertical="center"/>
    </xf>
    <xf numFmtId="176" fontId="11" fillId="11" borderId="1" xfId="0" applyNumberFormat="1" applyFont="1" applyFill="1" applyBorder="1" applyAlignment="1">
      <alignment horizontal="center" vertical="center"/>
    </xf>
    <xf numFmtId="176" fontId="11" fillId="12" borderId="1" xfId="6" applyNumberFormat="1" applyFont="1" applyFill="1" applyBorder="1" applyAlignment="1">
      <alignment horizontal="center" vertical="center"/>
    </xf>
    <xf numFmtId="176" fontId="11" fillId="13" borderId="1" xfId="0" applyNumberFormat="1" applyFont="1" applyFill="1" applyBorder="1" applyAlignment="1">
      <alignment horizontal="center" vertical="center"/>
    </xf>
    <xf numFmtId="176" fontId="11" fillId="2" borderId="1" xfId="6" applyNumberFormat="1" applyFont="1" applyFill="1" applyBorder="1" applyAlignment="1">
      <alignment horizontal="center" vertical="center"/>
    </xf>
    <xf numFmtId="176" fontId="16" fillId="7" borderId="0" xfId="0" applyNumberFormat="1" applyFont="1" applyFill="1" applyAlignment="1">
      <alignment horizontal="center" vertical="center"/>
    </xf>
    <xf numFmtId="179" fontId="12" fillId="12" borderId="1" xfId="6" applyNumberFormat="1" applyFont="1" applyFill="1" applyBorder="1" applyAlignment="1">
      <alignment horizontal="center" vertical="center"/>
    </xf>
    <xf numFmtId="176" fontId="12" fillId="12" borderId="1" xfId="6" applyNumberFormat="1" applyFont="1" applyFill="1" applyBorder="1" applyAlignment="1">
      <alignment horizontal="center" vertical="center"/>
    </xf>
    <xf numFmtId="176" fontId="11" fillId="12" borderId="1" xfId="0" applyNumberFormat="1" applyFont="1" applyFill="1" applyBorder="1" applyAlignment="1">
      <alignment horizontal="center" vertical="center"/>
    </xf>
    <xf numFmtId="179" fontId="11" fillId="12" borderId="1" xfId="6" applyNumberFormat="1" applyFont="1" applyFill="1" applyBorder="1" applyAlignment="1">
      <alignment horizontal="center" vertical="center"/>
    </xf>
    <xf numFmtId="0" fontId="11" fillId="12" borderId="1" xfId="0" applyFont="1" applyFill="1" applyBorder="1" applyAlignment="1">
      <alignment horizontal="center" vertical="center"/>
    </xf>
    <xf numFmtId="179" fontId="12" fillId="13" borderId="1" xfId="6" applyNumberFormat="1" applyFont="1" applyFill="1" applyBorder="1" applyAlignment="1">
      <alignment horizontal="center" vertical="center"/>
    </xf>
    <xf numFmtId="176" fontId="12" fillId="13" borderId="1" xfId="6" applyNumberFormat="1" applyFont="1" applyFill="1" applyBorder="1" applyAlignment="1">
      <alignment horizontal="center" vertical="center"/>
    </xf>
    <xf numFmtId="176" fontId="11" fillId="13" borderId="1" xfId="6" applyNumberFormat="1" applyFont="1" applyFill="1" applyBorder="1" applyAlignment="1">
      <alignment horizontal="center" vertical="center"/>
    </xf>
    <xf numFmtId="179" fontId="11" fillId="13" borderId="1" xfId="6" applyNumberFormat="1" applyFont="1" applyFill="1" applyBorder="1" applyAlignment="1">
      <alignment horizontal="center" vertical="center"/>
    </xf>
    <xf numFmtId="0" fontId="11" fillId="13" borderId="1" xfId="0" applyFont="1" applyFill="1" applyBorder="1" applyAlignment="1">
      <alignment horizontal="center" vertical="center"/>
    </xf>
    <xf numFmtId="179" fontId="12" fillId="14" borderId="1" xfId="6" applyNumberFormat="1" applyFont="1" applyFill="1" applyBorder="1" applyAlignment="1">
      <alignment horizontal="center" vertical="center"/>
    </xf>
    <xf numFmtId="176" fontId="11" fillId="14" borderId="1" xfId="6" applyNumberFormat="1" applyFont="1" applyFill="1" applyBorder="1" applyAlignment="1">
      <alignment horizontal="center" vertical="center"/>
    </xf>
    <xf numFmtId="176" fontId="12" fillId="14" borderId="1" xfId="6" applyNumberFormat="1" applyFont="1" applyFill="1" applyBorder="1" applyAlignment="1">
      <alignment horizontal="center" vertical="center"/>
    </xf>
    <xf numFmtId="176" fontId="11" fillId="14" borderId="1" xfId="0" applyNumberFormat="1" applyFont="1" applyFill="1" applyBorder="1" applyAlignment="1">
      <alignment horizontal="center" vertical="center"/>
    </xf>
    <xf numFmtId="179" fontId="11" fillId="14" borderId="1" xfId="0" applyNumberFormat="1" applyFont="1" applyFill="1" applyBorder="1" applyAlignment="1">
      <alignment horizontal="center" vertical="center"/>
    </xf>
    <xf numFmtId="0" fontId="11" fillId="14" borderId="1" xfId="0" applyFont="1" applyFill="1" applyBorder="1" applyAlignment="1">
      <alignment horizontal="center" vertical="center"/>
    </xf>
    <xf numFmtId="177" fontId="12" fillId="3" borderId="0" xfId="0" applyNumberFormat="1" applyFont="1" applyFill="1" applyAlignment="1">
      <alignment horizontal="center" vertical="center"/>
    </xf>
    <xf numFmtId="179" fontId="12" fillId="3" borderId="0" xfId="0" applyNumberFormat="1" applyFont="1" applyFill="1" applyAlignment="1">
      <alignment horizontal="center" vertical="center"/>
    </xf>
    <xf numFmtId="176" fontId="12" fillId="3" borderId="0" xfId="6" applyNumberFormat="1" applyFont="1" applyFill="1" applyAlignment="1">
      <alignment horizontal="center" vertical="center" wrapText="1"/>
    </xf>
    <xf numFmtId="177" fontId="12" fillId="6" borderId="1" xfId="0" applyNumberFormat="1" applyFont="1" applyFill="1" applyBorder="1" applyAlignment="1">
      <alignment horizontal="center" vertical="center"/>
    </xf>
    <xf numFmtId="179" fontId="12" fillId="6" borderId="1" xfId="0" applyNumberFormat="1" applyFont="1" applyFill="1" applyBorder="1" applyAlignment="1">
      <alignment horizontal="center" vertical="center"/>
    </xf>
    <xf numFmtId="176" fontId="12" fillId="6" borderId="1" xfId="6" applyNumberFormat="1" applyFont="1" applyFill="1" applyBorder="1" applyAlignment="1">
      <alignment horizontal="center" vertical="center" wrapText="1"/>
    </xf>
    <xf numFmtId="177" fontId="11" fillId="6" borderId="1" xfId="6" applyNumberFormat="1" applyFont="1" applyFill="1" applyBorder="1" applyAlignment="1">
      <alignment horizontal="center" vertical="center" wrapText="1"/>
    </xf>
    <xf numFmtId="177" fontId="11" fillId="6" borderId="1" xfId="0" applyNumberFormat="1" applyFont="1" applyFill="1" applyBorder="1" applyAlignment="1">
      <alignment horizontal="center" vertical="center"/>
    </xf>
    <xf numFmtId="176" fontId="11" fillId="6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176" fontId="11" fillId="2" borderId="1" xfId="6" applyNumberFormat="1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/>
    </xf>
    <xf numFmtId="176" fontId="12" fillId="3" borderId="0" xfId="6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77" fontId="12" fillId="4" borderId="4" xfId="0" applyNumberFormat="1" applyFont="1" applyFill="1" applyBorder="1" applyAlignment="1">
      <alignment horizontal="center" vertical="center"/>
    </xf>
    <xf numFmtId="177" fontId="12" fillId="4" borderId="6" xfId="0" applyNumberFormat="1" applyFont="1" applyFill="1" applyBorder="1" applyAlignment="1">
      <alignment horizontal="center" vertical="center"/>
    </xf>
    <xf numFmtId="179" fontId="12" fillId="4" borderId="1" xfId="0" applyNumberFormat="1" applyFont="1" applyFill="1" applyBorder="1" applyAlignment="1">
      <alignment horizontal="center" vertical="center"/>
    </xf>
    <xf numFmtId="176" fontId="12" fillId="4" borderId="1" xfId="6" applyNumberFormat="1" applyFont="1" applyFill="1" applyBorder="1" applyAlignment="1">
      <alignment horizontal="center" vertical="center" wrapText="1"/>
    </xf>
    <xf numFmtId="177" fontId="11" fillId="4" borderId="1" xfId="6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177" fontId="23" fillId="4" borderId="1" xfId="6" applyNumberFormat="1" applyFont="1" applyFill="1" applyBorder="1" applyAlignment="1">
      <alignment horizontal="center" vertical="center" wrapText="1"/>
    </xf>
    <xf numFmtId="181" fontId="11" fillId="4" borderId="1" xfId="6" applyNumberFormat="1" applyFont="1" applyFill="1" applyBorder="1" applyAlignment="1">
      <alignment horizontal="center" vertical="center" wrapText="1"/>
    </xf>
    <xf numFmtId="182" fontId="10" fillId="3" borderId="0" xfId="0" applyNumberFormat="1" applyFont="1" applyFill="1" applyAlignment="1">
      <alignment horizontal="center" vertical="center"/>
    </xf>
    <xf numFmtId="176" fontId="10" fillId="3" borderId="0" xfId="6" applyNumberFormat="1" applyFont="1" applyFill="1" applyAlignment="1">
      <alignment horizontal="center" vertical="center"/>
    </xf>
    <xf numFmtId="176" fontId="11" fillId="3" borderId="0" xfId="6" quotePrefix="1" applyNumberFormat="1" applyFont="1" applyFill="1" applyAlignment="1">
      <alignment vertical="center"/>
    </xf>
    <xf numFmtId="176" fontId="16" fillId="7" borderId="1" xfId="6" quotePrefix="1" applyNumberFormat="1" applyFont="1" applyFill="1" applyBorder="1" applyAlignment="1">
      <alignment vertical="center"/>
    </xf>
    <xf numFmtId="176" fontId="16" fillId="7" borderId="0" xfId="6" quotePrefix="1" applyNumberFormat="1" applyFont="1" applyFill="1" applyAlignment="1">
      <alignment vertical="center"/>
    </xf>
    <xf numFmtId="176" fontId="11" fillId="4" borderId="1" xfId="0" applyNumberFormat="1" applyFont="1" applyFill="1" applyBorder="1" applyAlignment="1">
      <alignment horizontal="center" vertical="center" wrapText="1"/>
    </xf>
    <xf numFmtId="176" fontId="11" fillId="5" borderId="1" xfId="0" applyNumberFormat="1" applyFont="1" applyFill="1" applyBorder="1" applyAlignment="1">
      <alignment horizontal="center" vertical="center" wrapText="1"/>
    </xf>
    <xf numFmtId="178" fontId="11" fillId="5" borderId="1" xfId="0" applyNumberFormat="1" applyFont="1" applyFill="1" applyBorder="1" applyAlignment="1">
      <alignment horizontal="left" vertical="center" wrapText="1"/>
    </xf>
    <xf numFmtId="178" fontId="11" fillId="4" borderId="1" xfId="0" applyNumberFormat="1" applyFont="1" applyFill="1" applyBorder="1" applyAlignment="1">
      <alignment horizontal="left" vertical="center" wrapText="1"/>
    </xf>
    <xf numFmtId="176" fontId="11" fillId="2" borderId="1" xfId="6" applyNumberFormat="1" applyFont="1" applyFill="1" applyBorder="1" applyAlignment="1">
      <alignment horizontal="center" vertical="center" wrapText="1"/>
    </xf>
    <xf numFmtId="0" fontId="10" fillId="2" borderId="1" xfId="0" applyFont="1" applyFill="1" applyBorder="1">
      <alignment vertical="center"/>
    </xf>
    <xf numFmtId="176" fontId="11" fillId="2" borderId="6" xfId="6" applyNumberFormat="1" applyFont="1" applyFill="1" applyBorder="1" applyAlignment="1">
      <alignment horizontal="center" vertical="center" wrapText="1"/>
    </xf>
    <xf numFmtId="176" fontId="11" fillId="2" borderId="4" xfId="6" applyNumberFormat="1" applyFont="1" applyFill="1" applyBorder="1" applyAlignment="1">
      <alignment horizontal="center" vertical="center" wrapText="1"/>
    </xf>
    <xf numFmtId="176" fontId="11" fillId="13" borderId="1" xfId="0" applyNumberFormat="1" applyFont="1" applyFill="1" applyBorder="1" applyAlignment="1">
      <alignment horizontal="center" vertical="center"/>
    </xf>
    <xf numFmtId="176" fontId="16" fillId="7" borderId="1" xfId="6" applyNumberFormat="1" applyFont="1" applyFill="1" applyBorder="1" applyAlignment="1">
      <alignment horizontal="left" vertical="center"/>
    </xf>
    <xf numFmtId="176" fontId="16" fillId="7" borderId="1" xfId="6" quotePrefix="1" applyNumberFormat="1" applyFont="1" applyFill="1" applyBorder="1" applyAlignment="1">
      <alignment horizontal="left" vertical="center"/>
    </xf>
    <xf numFmtId="176" fontId="11" fillId="14" borderId="1" xfId="6" applyNumberFormat="1" applyFont="1" applyFill="1" applyBorder="1" applyAlignment="1">
      <alignment horizontal="center" vertical="center"/>
    </xf>
    <xf numFmtId="0" fontId="10" fillId="14" borderId="1" xfId="0" applyFont="1" applyFill="1" applyBorder="1">
      <alignment vertical="center"/>
    </xf>
    <xf numFmtId="176" fontId="24" fillId="3" borderId="0" xfId="0" applyNumberFormat="1" applyFont="1" applyFill="1" applyAlignment="1">
      <alignment horizontal="center" vertical="center"/>
    </xf>
    <xf numFmtId="0" fontId="10" fillId="3" borderId="0" xfId="0" applyFont="1" applyFill="1">
      <alignment vertical="center"/>
    </xf>
    <xf numFmtId="176" fontId="11" fillId="12" borderId="1" xfId="6" applyNumberFormat="1" applyFont="1" applyFill="1" applyBorder="1" applyAlignment="1">
      <alignment horizontal="center" vertical="center"/>
    </xf>
    <xf numFmtId="0" fontId="10" fillId="12" borderId="1" xfId="0" applyFont="1" applyFill="1" applyBorder="1">
      <alignment vertical="center"/>
    </xf>
    <xf numFmtId="176" fontId="11" fillId="2" borderId="6" xfId="0" applyNumberFormat="1" applyFont="1" applyFill="1" applyBorder="1" applyAlignment="1">
      <alignment horizontal="center" vertical="center" wrapText="1"/>
    </xf>
    <xf numFmtId="176" fontId="11" fillId="2" borderId="5" xfId="0" applyNumberFormat="1" applyFont="1" applyFill="1" applyBorder="1" applyAlignment="1">
      <alignment horizontal="center" vertical="center"/>
    </xf>
    <xf numFmtId="176" fontId="11" fillId="2" borderId="4" xfId="0" applyNumberFormat="1" applyFont="1" applyFill="1" applyBorder="1" applyAlignment="1">
      <alignment horizontal="center" vertical="center"/>
    </xf>
    <xf numFmtId="176" fontId="11" fillId="2" borderId="5" xfId="0" applyNumberFormat="1" applyFont="1" applyFill="1" applyBorder="1" applyAlignment="1">
      <alignment horizontal="center" vertical="center" wrapText="1"/>
    </xf>
    <xf numFmtId="176" fontId="11" fillId="2" borderId="4" xfId="0" applyNumberFormat="1" applyFont="1" applyFill="1" applyBorder="1" applyAlignment="1">
      <alignment horizontal="center" vertical="center" wrapText="1"/>
    </xf>
    <xf numFmtId="176" fontId="11" fillId="2" borderId="3" xfId="0" applyNumberFormat="1" applyFont="1" applyFill="1" applyBorder="1" applyAlignment="1">
      <alignment horizontal="center" vertical="center" wrapText="1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 wrapText="1"/>
    </xf>
    <xf numFmtId="176" fontId="16" fillId="7" borderId="1" xfId="0" applyNumberFormat="1" applyFont="1" applyFill="1" applyBorder="1" applyAlignment="1">
      <alignment horizontal="left" vertical="center"/>
    </xf>
    <xf numFmtId="176" fontId="16" fillId="7" borderId="1" xfId="0" quotePrefix="1" applyNumberFormat="1" applyFont="1" applyFill="1" applyBorder="1" applyAlignment="1">
      <alignment horizontal="left" vertical="center"/>
    </xf>
    <xf numFmtId="0" fontId="25" fillId="0" borderId="0" xfId="0" applyFont="1">
      <alignment vertical="center"/>
    </xf>
    <xf numFmtId="0" fontId="25" fillId="0" borderId="0" xfId="1" applyFont="1"/>
    <xf numFmtId="0" fontId="25" fillId="0" borderId="0" xfId="2" applyFont="1" applyAlignment="1">
      <alignment vertical="center"/>
    </xf>
    <xf numFmtId="0" fontId="25" fillId="0" borderId="0" xfId="5" applyFont="1" applyAlignment="1">
      <alignment vertical="center"/>
    </xf>
    <xf numFmtId="0" fontId="25" fillId="0" borderId="0" xfId="5" applyFont="1" applyFill="1" applyAlignment="1">
      <alignment vertical="center"/>
    </xf>
  </cellXfs>
  <cellStyles count="7">
    <cellStyle name="쉼표 [0] 6" xfId="3" xr:uid="{0DD774D5-0719-444A-9D26-F75933F7FB70}"/>
    <cellStyle name="표준" xfId="0" builtinId="0"/>
    <cellStyle name="표준 2" xfId="1" xr:uid="{330CB100-73AA-4920-A902-1A0D56E08690}"/>
    <cellStyle name="표준 2 2" xfId="2" xr:uid="{355E008E-4E86-4CAE-8D4B-41222ABB97BB}"/>
    <cellStyle name="표준 2 3" xfId="5" xr:uid="{DBB850C2-0FBB-4FE8-BAE3-B0FB5504ABBA}"/>
    <cellStyle name="표준 3" xfId="4" xr:uid="{B1000C53-9D67-4F53-A55E-9CE9F08C73D1}"/>
    <cellStyle name="표준_Sheet1" xfId="6" xr:uid="{02F78059-879C-4A41-8A07-4BFEEBF9E6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0126A-1F22-44DB-A5D5-FC7E1E1FFF33}">
  <dimension ref="A1:C26"/>
  <sheetViews>
    <sheetView tabSelected="1" topLeftCell="A2" workbookViewId="0">
      <selection activeCell="B27" sqref="B27"/>
    </sheetView>
  </sheetViews>
  <sheetFormatPr defaultRowHeight="17" x14ac:dyDescent="0.45"/>
  <cols>
    <col min="1" max="1" width="9.4140625" bestFit="1" customWidth="1"/>
  </cols>
  <sheetData>
    <row r="1" spans="1:3" x14ac:dyDescent="0.45">
      <c r="A1" s="155" t="s">
        <v>155</v>
      </c>
      <c r="B1" s="155" t="s">
        <v>156</v>
      </c>
      <c r="C1" s="155"/>
    </row>
    <row r="2" spans="1:3" x14ac:dyDescent="0.45">
      <c r="A2" s="155" t="s">
        <v>171</v>
      </c>
      <c r="B2" s="155" t="s">
        <v>172</v>
      </c>
      <c r="C2" s="155"/>
    </row>
    <row r="3" spans="1:3" x14ac:dyDescent="0.3">
      <c r="A3" s="156" t="s">
        <v>91</v>
      </c>
      <c r="B3" s="155" t="s">
        <v>157</v>
      </c>
      <c r="C3" s="155"/>
    </row>
    <row r="4" spans="1:3" x14ac:dyDescent="0.3">
      <c r="A4" s="156" t="s">
        <v>89</v>
      </c>
      <c r="B4" s="155" t="s">
        <v>158</v>
      </c>
      <c r="C4" s="155"/>
    </row>
    <row r="5" spans="1:3" x14ac:dyDescent="0.45">
      <c r="A5" s="157" t="s">
        <v>153</v>
      </c>
      <c r="B5" s="155" t="s">
        <v>159</v>
      </c>
      <c r="C5" s="155"/>
    </row>
    <row r="6" spans="1:3" x14ac:dyDescent="0.45">
      <c r="A6" s="157" t="s">
        <v>3</v>
      </c>
      <c r="B6" s="155" t="s">
        <v>160</v>
      </c>
      <c r="C6" s="155"/>
    </row>
    <row r="7" spans="1:3" x14ac:dyDescent="0.45">
      <c r="A7" s="157" t="s">
        <v>0</v>
      </c>
      <c r="B7" s="155" t="s">
        <v>161</v>
      </c>
      <c r="C7" s="155"/>
    </row>
    <row r="8" spans="1:3" x14ac:dyDescent="0.45">
      <c r="A8" s="158" t="s">
        <v>4</v>
      </c>
      <c r="B8" s="155" t="s">
        <v>162</v>
      </c>
      <c r="C8" s="155"/>
    </row>
    <row r="9" spans="1:3" x14ac:dyDescent="0.45">
      <c r="A9" s="158" t="s">
        <v>5</v>
      </c>
      <c r="B9" s="155" t="s">
        <v>163</v>
      </c>
      <c r="C9" s="155"/>
    </row>
    <row r="10" spans="1:3" x14ac:dyDescent="0.45">
      <c r="A10" s="158" t="s">
        <v>6</v>
      </c>
      <c r="B10" s="155" t="s">
        <v>164</v>
      </c>
      <c r="C10" s="155"/>
    </row>
    <row r="11" spans="1:3" x14ac:dyDescent="0.45">
      <c r="A11" s="158" t="s">
        <v>7</v>
      </c>
      <c r="B11" s="155" t="s">
        <v>165</v>
      </c>
      <c r="C11" s="155"/>
    </row>
    <row r="12" spans="1:3" x14ac:dyDescent="0.45">
      <c r="A12" s="158" t="s">
        <v>8</v>
      </c>
      <c r="B12" s="155" t="s">
        <v>166</v>
      </c>
      <c r="C12" s="155"/>
    </row>
    <row r="13" spans="1:3" x14ac:dyDescent="0.45">
      <c r="A13" s="158" t="s">
        <v>9</v>
      </c>
      <c r="B13" s="155" t="s">
        <v>167</v>
      </c>
      <c r="C13" s="155"/>
    </row>
    <row r="14" spans="1:3" x14ac:dyDescent="0.45">
      <c r="A14" s="159" t="s">
        <v>168</v>
      </c>
      <c r="B14" s="155" t="s">
        <v>169</v>
      </c>
    </row>
    <row r="15" spans="1:3" x14ac:dyDescent="0.45">
      <c r="A15" t="s">
        <v>146</v>
      </c>
      <c r="B15" s="155" t="s">
        <v>170</v>
      </c>
    </row>
    <row r="16" spans="1:3" x14ac:dyDescent="0.45">
      <c r="A16" s="159" t="s">
        <v>173</v>
      </c>
      <c r="B16" s="155" t="s">
        <v>174</v>
      </c>
    </row>
    <row r="17" spans="1:2" x14ac:dyDescent="0.45">
      <c r="A17" t="s">
        <v>175</v>
      </c>
      <c r="B17" s="155" t="s">
        <v>182</v>
      </c>
    </row>
    <row r="18" spans="1:2" x14ac:dyDescent="0.45">
      <c r="A18" t="s">
        <v>176</v>
      </c>
      <c r="B18" s="155" t="s">
        <v>183</v>
      </c>
    </row>
    <row r="19" spans="1:2" x14ac:dyDescent="0.45">
      <c r="A19" t="s">
        <v>177</v>
      </c>
      <c r="B19" s="155" t="s">
        <v>184</v>
      </c>
    </row>
    <row r="20" spans="1:2" x14ac:dyDescent="0.45">
      <c r="A20" t="s">
        <v>178</v>
      </c>
      <c r="B20" t="s">
        <v>185</v>
      </c>
    </row>
    <row r="21" spans="1:2" x14ac:dyDescent="0.45">
      <c r="A21" t="s">
        <v>179</v>
      </c>
      <c r="B21" s="155" t="s">
        <v>186</v>
      </c>
    </row>
    <row r="22" spans="1:2" x14ac:dyDescent="0.45">
      <c r="A22" t="s">
        <v>180</v>
      </c>
      <c r="B22" s="155" t="s">
        <v>187</v>
      </c>
    </row>
    <row r="23" spans="1:2" x14ac:dyDescent="0.45">
      <c r="A23" t="s">
        <v>181</v>
      </c>
      <c r="B23" s="155" t="s">
        <v>188</v>
      </c>
    </row>
    <row r="24" spans="1:2" x14ac:dyDescent="0.45">
      <c r="A24" t="s">
        <v>190</v>
      </c>
      <c r="B24" s="155" t="s">
        <v>192</v>
      </c>
    </row>
    <row r="25" spans="1:2" x14ac:dyDescent="0.45">
      <c r="A25" t="s">
        <v>189</v>
      </c>
      <c r="B25" s="155" t="s">
        <v>193</v>
      </c>
    </row>
    <row r="26" spans="1:2" x14ac:dyDescent="0.45">
      <c r="A26" t="s">
        <v>191</v>
      </c>
      <c r="B26" s="155" t="s">
        <v>194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26DFA-CF92-424C-AA6F-362E9DC2FB90}">
  <dimension ref="A1:Q25"/>
  <sheetViews>
    <sheetView workbookViewId="0">
      <selection activeCell="H42" sqref="H42"/>
    </sheetView>
  </sheetViews>
  <sheetFormatPr defaultColWidth="9" defaultRowHeight="17" x14ac:dyDescent="0.45"/>
  <cols>
    <col min="1" max="1" width="10.1640625" style="1" bestFit="1" customWidth="1"/>
    <col min="2" max="3" width="6.5" style="1" bestFit="1" customWidth="1"/>
    <col min="4" max="4" width="9" style="1"/>
    <col min="5" max="5" width="4.58203125" style="1" bestFit="1" customWidth="1"/>
    <col min="6" max="6" width="9.58203125" style="1" bestFit="1" customWidth="1"/>
    <col min="7" max="7" width="9.75" style="1" bestFit="1" customWidth="1"/>
    <col min="8" max="8" width="14.33203125" style="1" bestFit="1" customWidth="1"/>
    <col min="9" max="9" width="15.33203125" style="1" bestFit="1" customWidth="1"/>
    <col min="10" max="10" width="11.83203125" style="1" bestFit="1" customWidth="1"/>
    <col min="11" max="11" width="14.83203125" style="1" bestFit="1" customWidth="1"/>
    <col min="12" max="12" width="11.25" style="1" bestFit="1" customWidth="1"/>
    <col min="13" max="13" width="18.83203125" style="1" bestFit="1" customWidth="1"/>
    <col min="14" max="16384" width="9" style="1"/>
  </cols>
  <sheetData>
    <row r="1" spans="1:17" ht="17.5" x14ac:dyDescent="0.45">
      <c r="A1" s="8" t="s">
        <v>153</v>
      </c>
      <c r="B1" s="8" t="s">
        <v>3</v>
      </c>
      <c r="C1" s="8" t="s">
        <v>0</v>
      </c>
      <c r="D1" s="8" t="s">
        <v>154</v>
      </c>
      <c r="E1" s="15" t="s">
        <v>1</v>
      </c>
      <c r="F1" s="15" t="s">
        <v>10</v>
      </c>
      <c r="G1" s="16" t="s">
        <v>11</v>
      </c>
      <c r="H1" s="15" t="s">
        <v>12</v>
      </c>
      <c r="I1" s="15" t="s">
        <v>13</v>
      </c>
      <c r="J1" s="15" t="s">
        <v>14</v>
      </c>
      <c r="K1" s="15" t="s">
        <v>15</v>
      </c>
      <c r="L1" s="15" t="s">
        <v>16</v>
      </c>
      <c r="M1" s="15" t="s">
        <v>152</v>
      </c>
      <c r="N1" s="14"/>
      <c r="O1" s="14"/>
      <c r="P1" s="14"/>
      <c r="Q1" s="14"/>
    </row>
    <row r="2" spans="1:17" x14ac:dyDescent="0.45">
      <c r="A2" s="8">
        <v>1</v>
      </c>
      <c r="B2" s="8">
        <v>1</v>
      </c>
      <c r="C2" s="7">
        <v>1</v>
      </c>
      <c r="D2" s="1">
        <v>1</v>
      </c>
      <c r="E2" s="5">
        <v>7.0666666666666664</v>
      </c>
      <c r="F2" s="5">
        <v>78.138696441731213</v>
      </c>
      <c r="G2" s="10">
        <v>69.788561075516029</v>
      </c>
      <c r="H2" s="5">
        <v>18.496951137204565</v>
      </c>
      <c r="I2" s="5">
        <v>0.91261885615697802</v>
      </c>
      <c r="J2" s="5">
        <v>8.5271173107236642</v>
      </c>
      <c r="K2" s="5">
        <v>1.2039401480886271</v>
      </c>
      <c r="L2" s="2">
        <v>1.070811472310141</v>
      </c>
      <c r="M2" s="2">
        <v>16.844292237442918</v>
      </c>
      <c r="N2" s="3"/>
      <c r="O2" s="3"/>
      <c r="P2" s="3"/>
      <c r="Q2" s="3"/>
    </row>
    <row r="3" spans="1:17" x14ac:dyDescent="0.45">
      <c r="A3" s="8">
        <v>1</v>
      </c>
      <c r="B3" s="8">
        <v>2</v>
      </c>
      <c r="C3" s="7">
        <v>2</v>
      </c>
      <c r="D3" s="1">
        <v>1</v>
      </c>
      <c r="E3" s="5">
        <v>6.9899999999999993</v>
      </c>
      <c r="F3" s="5">
        <v>63.388155783217364</v>
      </c>
      <c r="G3" s="13">
        <v>69.515817302438379</v>
      </c>
      <c r="H3" s="5">
        <v>16.856923892418436</v>
      </c>
      <c r="I3" s="5">
        <v>1.1104365154764684</v>
      </c>
      <c r="J3" s="5">
        <v>9.8067716285151274</v>
      </c>
      <c r="K3" s="5">
        <v>1.5202209502193516</v>
      </c>
      <c r="L3" s="2">
        <v>1.1898297109322311</v>
      </c>
      <c r="M3" s="2">
        <v>10.335768645357685</v>
      </c>
      <c r="N3" s="3"/>
      <c r="O3" s="3"/>
      <c r="P3" s="3"/>
      <c r="Q3" s="3"/>
    </row>
    <row r="4" spans="1:17" x14ac:dyDescent="0.45">
      <c r="A4" s="8">
        <v>1</v>
      </c>
      <c r="B4" s="8">
        <v>3</v>
      </c>
      <c r="C4" s="7">
        <v>3</v>
      </c>
      <c r="D4" s="1">
        <v>1</v>
      </c>
      <c r="E4" s="5">
        <v>7.6133333333333333</v>
      </c>
      <c r="F4" s="5">
        <v>41.940754906762841</v>
      </c>
      <c r="G4" s="13">
        <v>72.319255102890622</v>
      </c>
      <c r="H4" s="12">
        <v>15.969466783992482</v>
      </c>
      <c r="I4" s="5">
        <v>0.83108243595307985</v>
      </c>
      <c r="J4" s="5">
        <v>8.5068079112465202</v>
      </c>
      <c r="K4" s="5">
        <v>1.1760249950506021</v>
      </c>
      <c r="L4" s="2">
        <v>1.1973627708666956</v>
      </c>
      <c r="M4" s="2">
        <v>8.8593099949264325</v>
      </c>
      <c r="N4" s="3"/>
      <c r="O4" s="3"/>
      <c r="P4" s="3"/>
      <c r="Q4" s="3"/>
    </row>
    <row r="5" spans="1:17" x14ac:dyDescent="0.45">
      <c r="A5" s="8">
        <v>1</v>
      </c>
      <c r="B5" s="8">
        <v>1</v>
      </c>
      <c r="C5" s="7">
        <v>4</v>
      </c>
      <c r="D5" s="1">
        <v>2</v>
      </c>
      <c r="E5" s="5">
        <v>7.0366666666666662</v>
      </c>
      <c r="F5" s="5">
        <v>58.139160564015661</v>
      </c>
      <c r="G5" s="11">
        <v>67.19886867722164</v>
      </c>
      <c r="H5" s="5">
        <v>18.196178386427373</v>
      </c>
      <c r="I5" s="5">
        <v>1.1677936674713145</v>
      </c>
      <c r="J5" s="5">
        <v>10.770166375628287</v>
      </c>
      <c r="K5" s="5">
        <v>1.2175479925630743</v>
      </c>
      <c r="L5" s="2">
        <v>1.4494449006883048</v>
      </c>
      <c r="M5" s="2">
        <v>5.5637747336377474</v>
      </c>
      <c r="N5" s="3"/>
      <c r="O5" s="3"/>
      <c r="P5" s="3"/>
      <c r="Q5" s="3"/>
    </row>
    <row r="6" spans="1:17" x14ac:dyDescent="0.45">
      <c r="A6" s="8">
        <v>1</v>
      </c>
      <c r="B6" s="8">
        <v>2</v>
      </c>
      <c r="C6" s="7">
        <v>5</v>
      </c>
      <c r="D6" s="1">
        <v>2</v>
      </c>
      <c r="E6" s="5">
        <v>6.8633333333333333</v>
      </c>
      <c r="F6" s="5">
        <v>74.903168646081426</v>
      </c>
      <c r="G6" s="10">
        <v>71.113092614173297</v>
      </c>
      <c r="H6" s="9">
        <v>16.199020914815261</v>
      </c>
      <c r="I6" s="9">
        <v>0.99116733161422976</v>
      </c>
      <c r="J6" s="5">
        <v>9.2096294844695219</v>
      </c>
      <c r="K6" s="4">
        <v>1.0547433475254262</v>
      </c>
      <c r="L6" s="2">
        <v>1.4323463074022644</v>
      </c>
      <c r="M6" s="2">
        <v>4.9546423135464224</v>
      </c>
      <c r="N6" s="3"/>
      <c r="O6" s="3"/>
      <c r="P6" s="3"/>
      <c r="Q6" s="3"/>
    </row>
    <row r="7" spans="1:17" x14ac:dyDescent="0.45">
      <c r="A7" s="8">
        <v>1</v>
      </c>
      <c r="B7" s="8">
        <v>3</v>
      </c>
      <c r="C7" s="7">
        <v>6</v>
      </c>
      <c r="D7" s="1">
        <v>2</v>
      </c>
      <c r="E7" s="5">
        <v>6.3666666666666671</v>
      </c>
      <c r="F7" s="5">
        <v>86.151128814433079</v>
      </c>
      <c r="G7" s="6">
        <v>69.747065143085493</v>
      </c>
      <c r="H7" s="5">
        <v>16.095473610852743</v>
      </c>
      <c r="I7" s="5">
        <v>0.85387005374816427</v>
      </c>
      <c r="J7" s="5">
        <v>10.792781979340413</v>
      </c>
      <c r="K7" s="4">
        <v>1.1952947921270802</v>
      </c>
      <c r="L7" s="2">
        <v>1.3155144208461007</v>
      </c>
      <c r="M7" s="2">
        <v>13.878538812785388</v>
      </c>
      <c r="N7" s="3"/>
      <c r="O7" s="3"/>
      <c r="P7" s="3"/>
      <c r="Q7" s="3"/>
    </row>
    <row r="8" spans="1:17" x14ac:dyDescent="0.45">
      <c r="A8" s="8">
        <v>2</v>
      </c>
      <c r="B8" s="8">
        <v>1</v>
      </c>
      <c r="C8" s="7">
        <v>2</v>
      </c>
      <c r="D8" s="1">
        <v>1</v>
      </c>
      <c r="E8" s="5">
        <v>6.919999999999999</v>
      </c>
      <c r="F8" s="5">
        <v>45.597136339314893</v>
      </c>
      <c r="G8" s="6">
        <v>65.540770537044182</v>
      </c>
      <c r="H8" s="5">
        <v>19.523754417575251</v>
      </c>
      <c r="I8" s="5">
        <v>1.3899395580223397</v>
      </c>
      <c r="J8" s="5">
        <v>10.207611048835069</v>
      </c>
      <c r="K8" s="4">
        <v>1.721739089375949</v>
      </c>
      <c r="L8" s="2">
        <v>1.6161853491472122</v>
      </c>
      <c r="M8" s="2">
        <v>10.434753932014207</v>
      </c>
      <c r="N8" s="3"/>
      <c r="O8" s="3"/>
      <c r="P8" s="3"/>
      <c r="Q8" s="3"/>
    </row>
    <row r="9" spans="1:17" x14ac:dyDescent="0.45">
      <c r="A9" s="8">
        <v>2</v>
      </c>
      <c r="B9" s="8">
        <v>2</v>
      </c>
      <c r="C9" s="7">
        <v>3</v>
      </c>
      <c r="D9" s="1">
        <v>1</v>
      </c>
      <c r="E9" s="5">
        <v>6.6966666666666663</v>
      </c>
      <c r="F9" s="5">
        <v>73.247151077878868</v>
      </c>
      <c r="G9" s="6">
        <v>68.287958140622749</v>
      </c>
      <c r="H9" s="9">
        <v>18.036939061389557</v>
      </c>
      <c r="I9" s="9">
        <v>1.182228107000497</v>
      </c>
      <c r="J9" s="5">
        <v>9.6709116775583901</v>
      </c>
      <c r="K9" s="4">
        <v>1.5363083404513942</v>
      </c>
      <c r="L9" s="2">
        <v>1.2856546729774159</v>
      </c>
      <c r="M9" s="2">
        <v>16.140385591070523</v>
      </c>
      <c r="N9" s="3"/>
      <c r="O9" s="3"/>
      <c r="P9" s="3"/>
      <c r="Q9" s="3"/>
    </row>
    <row r="10" spans="1:17" x14ac:dyDescent="0.45">
      <c r="A10" s="8">
        <v>2</v>
      </c>
      <c r="B10" s="8">
        <v>3</v>
      </c>
      <c r="C10" s="7">
        <v>1</v>
      </c>
      <c r="D10" s="1">
        <v>1</v>
      </c>
      <c r="E10" s="5">
        <v>6.77</v>
      </c>
      <c r="F10" s="5">
        <v>56.44838386233414</v>
      </c>
      <c r="G10" s="6">
        <v>70.547904994549967</v>
      </c>
      <c r="H10" s="5">
        <v>18.404943953462791</v>
      </c>
      <c r="I10" s="5">
        <v>0.81968867539567158</v>
      </c>
      <c r="J10" s="5">
        <v>7.917585685634478</v>
      </c>
      <c r="K10" s="4">
        <v>1.0316380208816602</v>
      </c>
      <c r="L10" s="2">
        <v>1.2782386700754345</v>
      </c>
      <c r="M10" s="2">
        <v>7.9464231354642321</v>
      </c>
      <c r="N10" s="3"/>
      <c r="O10" s="3"/>
      <c r="P10" s="3"/>
      <c r="Q10" s="3"/>
    </row>
    <row r="11" spans="1:17" x14ac:dyDescent="0.45">
      <c r="A11" s="8">
        <v>2</v>
      </c>
      <c r="B11" s="8">
        <v>1</v>
      </c>
      <c r="C11" s="7">
        <v>5</v>
      </c>
      <c r="D11" s="1">
        <v>2</v>
      </c>
      <c r="E11" s="5">
        <v>7.3233333333333333</v>
      </c>
      <c r="F11" s="5">
        <v>56.088361185933955</v>
      </c>
      <c r="G11" s="6">
        <v>69.091253251777431</v>
      </c>
      <c r="H11" s="5">
        <v>19.331988634553792</v>
      </c>
      <c r="I11" s="5">
        <v>1.0103746158174394</v>
      </c>
      <c r="J11" s="5">
        <v>8.3640811077494543</v>
      </c>
      <c r="K11" s="4">
        <v>1.0875574086243895</v>
      </c>
      <c r="L11" s="2">
        <v>1.1147449814774846</v>
      </c>
      <c r="M11" s="2">
        <v>6.7381278538812781</v>
      </c>
      <c r="N11" s="3"/>
      <c r="O11" s="3"/>
      <c r="P11" s="3"/>
      <c r="Q11" s="3"/>
    </row>
    <row r="12" spans="1:17" x14ac:dyDescent="0.45">
      <c r="A12" s="8">
        <v>2</v>
      </c>
      <c r="B12" s="8">
        <v>2</v>
      </c>
      <c r="C12" s="7">
        <v>6</v>
      </c>
      <c r="D12" s="1">
        <v>2</v>
      </c>
      <c r="E12" s="5">
        <v>6.7299999999999995</v>
      </c>
      <c r="F12" s="5">
        <v>54.696196448683075</v>
      </c>
      <c r="G12" s="6">
        <v>67.45980100626538</v>
      </c>
      <c r="H12" s="5">
        <v>19.583678453938433</v>
      </c>
      <c r="I12" s="5">
        <v>1.1239512079885821</v>
      </c>
      <c r="J12" s="5">
        <v>8.3834087265712824</v>
      </c>
      <c r="K12" s="4">
        <v>1.4727101060229864</v>
      </c>
      <c r="L12" s="2">
        <v>1.9764504992133229</v>
      </c>
      <c r="M12" s="2">
        <v>9.6998477929984759</v>
      </c>
      <c r="N12" s="3"/>
      <c r="O12" s="3"/>
      <c r="P12" s="3"/>
      <c r="Q12" s="3"/>
    </row>
    <row r="13" spans="1:17" x14ac:dyDescent="0.45">
      <c r="A13" s="8">
        <v>2</v>
      </c>
      <c r="B13" s="8">
        <v>3</v>
      </c>
      <c r="C13" s="7">
        <v>4</v>
      </c>
      <c r="D13" s="1">
        <v>2</v>
      </c>
      <c r="E13" s="5">
        <v>7.23</v>
      </c>
      <c r="F13" s="5">
        <v>65.851608246691271</v>
      </c>
      <c r="G13" s="6">
        <v>64.331433459740822</v>
      </c>
      <c r="H13" s="5">
        <v>22.949777089562172</v>
      </c>
      <c r="I13" s="5">
        <v>1.2241758412047992</v>
      </c>
      <c r="J13" s="5">
        <v>8.1478686069724571</v>
      </c>
      <c r="K13" s="4">
        <v>1.4835657667964535</v>
      </c>
      <c r="L13" s="2">
        <v>1.8631792357233019</v>
      </c>
      <c r="M13" s="2">
        <v>8.4659056316590569</v>
      </c>
      <c r="N13" s="3"/>
      <c r="O13" s="3"/>
      <c r="P13" s="3"/>
      <c r="Q13" s="3"/>
    </row>
    <row r="14" spans="1:17" x14ac:dyDescent="0.45">
      <c r="A14" s="8">
        <v>3</v>
      </c>
      <c r="B14" s="8">
        <v>1</v>
      </c>
      <c r="C14" s="7">
        <v>3</v>
      </c>
      <c r="D14" s="1">
        <v>1</v>
      </c>
      <c r="E14" s="5">
        <v>6.9633333333333338</v>
      </c>
      <c r="F14" s="5">
        <v>62.238860647513583</v>
      </c>
      <c r="G14" s="6">
        <v>70.863818345123875</v>
      </c>
      <c r="H14" s="5">
        <v>15.252747969657525</v>
      </c>
      <c r="I14" s="5">
        <v>1.0811424395011324</v>
      </c>
      <c r="J14" s="5">
        <v>10.273036541002284</v>
      </c>
      <c r="K14" s="4">
        <v>1.5180856895922703</v>
      </c>
      <c r="L14" s="2">
        <v>1.0111690151229158</v>
      </c>
      <c r="M14" s="2">
        <v>18.06742770167428</v>
      </c>
      <c r="N14" s="3"/>
      <c r="O14" s="3"/>
      <c r="P14" s="3"/>
      <c r="Q14" s="3"/>
    </row>
    <row r="15" spans="1:17" x14ac:dyDescent="0.45">
      <c r="A15" s="8">
        <v>3</v>
      </c>
      <c r="B15" s="8">
        <v>2</v>
      </c>
      <c r="C15" s="7">
        <v>1</v>
      </c>
      <c r="D15" s="1">
        <v>1</v>
      </c>
      <c r="E15" s="5">
        <v>7.1733333333333329</v>
      </c>
      <c r="F15" s="5">
        <v>59.010095598950727</v>
      </c>
      <c r="G15" s="6">
        <v>66.76017231402642</v>
      </c>
      <c r="H15" s="5">
        <v>19.454025160951385</v>
      </c>
      <c r="I15" s="5">
        <v>1.3609430085590513</v>
      </c>
      <c r="J15" s="5">
        <v>9.3039757417742859</v>
      </c>
      <c r="K15" s="4">
        <v>1.8047739513786922</v>
      </c>
      <c r="L15" s="2">
        <v>1.3161098233101698</v>
      </c>
      <c r="M15" s="2">
        <v>11.061187214611872</v>
      </c>
      <c r="N15" s="3"/>
      <c r="O15" s="3"/>
      <c r="P15" s="3"/>
      <c r="Q15" s="3"/>
    </row>
    <row r="16" spans="1:17" x14ac:dyDescent="0.45">
      <c r="A16" s="8">
        <v>3</v>
      </c>
      <c r="B16" s="8">
        <v>3</v>
      </c>
      <c r="C16" s="7">
        <v>2</v>
      </c>
      <c r="D16" s="1">
        <v>1</v>
      </c>
      <c r="E16" s="5">
        <v>6.79</v>
      </c>
      <c r="F16" s="5">
        <v>75.16174680964572</v>
      </c>
      <c r="G16" s="6">
        <v>69.246725806006978</v>
      </c>
      <c r="H16" s="5">
        <v>18.594957773787904</v>
      </c>
      <c r="I16" s="5">
        <v>1.1274073181193438</v>
      </c>
      <c r="J16" s="5">
        <v>7.9483603734827453</v>
      </c>
      <c r="K16" s="4">
        <v>1.6844384042153726</v>
      </c>
      <c r="L16" s="2">
        <v>1.3981103243876472</v>
      </c>
      <c r="M16" s="2">
        <v>16.162455606291225</v>
      </c>
      <c r="N16" s="3"/>
      <c r="O16" s="3"/>
      <c r="P16" s="3"/>
      <c r="Q16" s="3"/>
    </row>
    <row r="17" spans="1:17" x14ac:dyDescent="0.45">
      <c r="A17" s="8">
        <v>3</v>
      </c>
      <c r="B17" s="8">
        <v>1</v>
      </c>
      <c r="C17" s="7">
        <v>6</v>
      </c>
      <c r="D17" s="1">
        <v>2</v>
      </c>
      <c r="E17" s="5">
        <v>7.4000000000000012</v>
      </c>
      <c r="F17" s="5">
        <v>58.060767963828617</v>
      </c>
      <c r="G17" s="6">
        <v>67.04492482054097</v>
      </c>
      <c r="H17" s="5">
        <v>19.593039701646973</v>
      </c>
      <c r="I17" s="5">
        <v>1.2484172721311992</v>
      </c>
      <c r="J17" s="5">
        <v>9.1815768865581902</v>
      </c>
      <c r="K17" s="4">
        <v>1.4957729599143941</v>
      </c>
      <c r="L17" s="2">
        <v>1.4362683592082821</v>
      </c>
      <c r="M17" s="2">
        <v>6.6427701674277024</v>
      </c>
      <c r="N17" s="3"/>
      <c r="O17" s="3"/>
      <c r="P17" s="3"/>
      <c r="Q17" s="3"/>
    </row>
    <row r="18" spans="1:17" x14ac:dyDescent="0.45">
      <c r="A18" s="8">
        <v>3</v>
      </c>
      <c r="B18" s="8">
        <v>2</v>
      </c>
      <c r="C18" s="7">
        <v>4</v>
      </c>
      <c r="D18" s="1">
        <v>2</v>
      </c>
      <c r="E18" s="5">
        <v>6.94</v>
      </c>
      <c r="F18" s="5">
        <v>55.996124444972942</v>
      </c>
      <c r="G18" s="6">
        <v>67.661390764924306</v>
      </c>
      <c r="H18" s="5">
        <v>19.475746708854466</v>
      </c>
      <c r="I18" s="5">
        <v>1.2232967481691901</v>
      </c>
      <c r="J18" s="5">
        <v>7.9567457135840884</v>
      </c>
      <c r="K18" s="4">
        <v>1.6904589405105508</v>
      </c>
      <c r="L18" s="2">
        <v>1.992361123957396</v>
      </c>
      <c r="M18" s="2">
        <v>10.34261796042618</v>
      </c>
      <c r="N18" s="3"/>
      <c r="O18" s="3"/>
      <c r="P18" s="3"/>
      <c r="Q18" s="3"/>
    </row>
    <row r="19" spans="1:17" x14ac:dyDescent="0.45">
      <c r="A19" s="8">
        <v>3</v>
      </c>
      <c r="B19" s="8">
        <v>3</v>
      </c>
      <c r="C19" s="7">
        <v>5</v>
      </c>
      <c r="D19" s="1">
        <v>2</v>
      </c>
      <c r="E19" s="5">
        <v>7.0733333333333333</v>
      </c>
      <c r="F19" s="5">
        <v>69.667311914717217</v>
      </c>
      <c r="G19" s="6">
        <v>69.594956663140238</v>
      </c>
      <c r="H19" s="5">
        <v>18.060441971769055</v>
      </c>
      <c r="I19" s="5">
        <v>1.094493929827874</v>
      </c>
      <c r="J19" s="5">
        <v>8.4667050697069524</v>
      </c>
      <c r="K19" s="4">
        <v>1.2954368299993917</v>
      </c>
      <c r="L19" s="2">
        <v>1.4879655355564785</v>
      </c>
      <c r="M19" s="2">
        <v>7.6856418061897527</v>
      </c>
      <c r="N19" s="3"/>
      <c r="O19" s="3"/>
      <c r="P19" s="3"/>
      <c r="Q19" s="3"/>
    </row>
    <row r="23" spans="1:17" x14ac:dyDescent="0.45">
      <c r="A23" s="1" t="s">
        <v>136</v>
      </c>
      <c r="B23" s="1" t="s">
        <v>139</v>
      </c>
    </row>
    <row r="24" spans="1:17" x14ac:dyDescent="0.45">
      <c r="A24" s="1" t="s">
        <v>137</v>
      </c>
      <c r="B24" s="1" t="s">
        <v>140</v>
      </c>
    </row>
    <row r="25" spans="1:17" x14ac:dyDescent="0.45">
      <c r="A25" s="1" t="s">
        <v>138</v>
      </c>
      <c r="B25" s="1" t="s">
        <v>141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F478C-2674-4942-A7D3-E58D5B244C1F}">
  <dimension ref="A1:Q24"/>
  <sheetViews>
    <sheetView workbookViewId="0">
      <selection activeCell="G25" sqref="G25"/>
    </sheetView>
  </sheetViews>
  <sheetFormatPr defaultRowHeight="17" x14ac:dyDescent="0.45"/>
  <cols>
    <col min="1" max="1" width="10.1640625" bestFit="1" customWidth="1"/>
    <col min="2" max="3" width="6.5" bestFit="1" customWidth="1"/>
    <col min="5" max="10" width="12.75" bestFit="1" customWidth="1"/>
  </cols>
  <sheetData>
    <row r="1" spans="1:17" x14ac:dyDescent="0.45">
      <c r="A1" s="8" t="s">
        <v>153</v>
      </c>
      <c r="B1" s="8" t="s">
        <v>3</v>
      </c>
      <c r="C1" s="8" t="s">
        <v>0</v>
      </c>
      <c r="D1" s="8" t="s">
        <v>2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L1" s="17"/>
      <c r="M1" s="17"/>
      <c r="N1" s="17"/>
      <c r="O1" s="17"/>
      <c r="P1" s="17"/>
      <c r="Q1" s="17"/>
    </row>
    <row r="2" spans="1:17" x14ac:dyDescent="0.45">
      <c r="A2" s="8">
        <v>1</v>
      </c>
      <c r="B2" s="8">
        <v>1</v>
      </c>
      <c r="C2" s="7">
        <v>1</v>
      </c>
      <c r="D2" s="1">
        <v>1</v>
      </c>
      <c r="E2">
        <v>70.208171823214286</v>
      </c>
      <c r="F2">
        <v>16.037307990029671</v>
      </c>
      <c r="G2">
        <v>23.10458677155605</v>
      </c>
      <c r="H2">
        <v>29.104877883685845</v>
      </c>
      <c r="I2">
        <v>42.398245523712511</v>
      </c>
      <c r="J2">
        <v>8.1482496563483391</v>
      </c>
    </row>
    <row r="3" spans="1:17" x14ac:dyDescent="0.45">
      <c r="A3" s="8">
        <v>1</v>
      </c>
      <c r="B3" s="8">
        <v>2</v>
      </c>
      <c r="C3" s="7">
        <v>2</v>
      </c>
      <c r="D3" s="1">
        <v>1</v>
      </c>
      <c r="E3">
        <v>56.484759300000015</v>
      </c>
      <c r="F3">
        <v>12.902536244894357</v>
      </c>
      <c r="G3">
        <v>22.393940342138187</v>
      </c>
      <c r="H3">
        <v>23.415821535069615</v>
      </c>
      <c r="I3">
        <v>40.067479447330008</v>
      </c>
      <c r="J3">
        <v>6.9238451202215252</v>
      </c>
    </row>
    <row r="4" spans="1:17" x14ac:dyDescent="0.45">
      <c r="A4" s="8">
        <v>1</v>
      </c>
      <c r="B4" s="8">
        <v>3</v>
      </c>
      <c r="C4" s="7">
        <v>3</v>
      </c>
      <c r="D4" s="1">
        <v>1</v>
      </c>
      <c r="E4">
        <v>58.061024889285676</v>
      </c>
      <c r="F4">
        <v>13.262594854497708</v>
      </c>
      <c r="G4">
        <v>20.326608248256235</v>
      </c>
      <c r="H4">
        <v>24.06926423692396</v>
      </c>
      <c r="I4">
        <v>37.419806636237134</v>
      </c>
      <c r="J4">
        <v>6.122022680634057</v>
      </c>
    </row>
    <row r="5" spans="1:17" x14ac:dyDescent="0.45">
      <c r="A5" s="8">
        <v>1</v>
      </c>
      <c r="B5" s="8">
        <v>1</v>
      </c>
      <c r="C5" s="7">
        <v>4</v>
      </c>
      <c r="D5" s="1">
        <v>2</v>
      </c>
      <c r="E5">
        <v>75.213604692857146</v>
      </c>
      <c r="F5">
        <v>15.683266965257321</v>
      </c>
      <c r="G5">
        <v>20.219998907751169</v>
      </c>
      <c r="H5">
        <v>28.093714396297262</v>
      </c>
      <c r="I5">
        <v>36.766363818052149</v>
      </c>
      <c r="J5">
        <v>6.9413303699053959</v>
      </c>
    </row>
    <row r="6" spans="1:17" x14ac:dyDescent="0.45">
      <c r="A6" s="8">
        <v>1</v>
      </c>
      <c r="B6" s="8">
        <v>2</v>
      </c>
      <c r="C6" s="7">
        <v>5</v>
      </c>
      <c r="D6" s="1">
        <v>2</v>
      </c>
      <c r="E6">
        <v>65.361082221428532</v>
      </c>
      <c r="F6">
        <v>13.628854856814842</v>
      </c>
      <c r="G6">
        <v>19.539613658905921</v>
      </c>
      <c r="H6">
        <v>24.413609533277675</v>
      </c>
      <c r="I6">
        <v>35.479720771969589</v>
      </c>
      <c r="J6">
        <v>5.5866832749238586</v>
      </c>
    </row>
    <row r="7" spans="1:17" x14ac:dyDescent="0.45">
      <c r="A7" s="8">
        <v>1</v>
      </c>
      <c r="B7" s="8">
        <v>3</v>
      </c>
      <c r="C7" s="7">
        <v>6</v>
      </c>
      <c r="D7" s="1">
        <v>2</v>
      </c>
      <c r="E7">
        <v>56.527106700000033</v>
      </c>
      <c r="F7">
        <v>11.786826449415978</v>
      </c>
      <c r="G7">
        <v>15.191576327796396</v>
      </c>
      <c r="H7">
        <v>21.113951362440631</v>
      </c>
      <c r="I7">
        <v>26.927301375455745</v>
      </c>
      <c r="J7">
        <v>5.7448902349217024</v>
      </c>
    </row>
    <row r="8" spans="1:17" x14ac:dyDescent="0.45">
      <c r="A8" s="8">
        <v>2</v>
      </c>
      <c r="B8" s="8">
        <v>1</v>
      </c>
      <c r="C8" s="7">
        <v>2</v>
      </c>
      <c r="D8" s="1">
        <v>1</v>
      </c>
      <c r="E8">
        <v>89.015562842857122</v>
      </c>
      <c r="F8">
        <v>20.469124308013242</v>
      </c>
      <c r="G8">
        <v>26.091222305034698</v>
      </c>
      <c r="H8">
        <v>39.189796568691008</v>
      </c>
      <c r="I8">
        <v>50.471107433383828</v>
      </c>
      <c r="J8">
        <v>7.3031326072201708</v>
      </c>
    </row>
    <row r="9" spans="1:17" x14ac:dyDescent="0.45">
      <c r="A9" s="8">
        <v>2</v>
      </c>
      <c r="B9" s="8">
        <v>2</v>
      </c>
      <c r="C9" s="7">
        <v>3</v>
      </c>
      <c r="D9" s="1">
        <v>1</v>
      </c>
      <c r="E9">
        <v>74.221272160714292</v>
      </c>
      <c r="F9">
        <v>17.067177891561826</v>
      </c>
      <c r="G9">
        <v>24.057997289353558</v>
      </c>
      <c r="H9">
        <v>32.676494583118242</v>
      </c>
      <c r="I9">
        <v>46.798981295562434</v>
      </c>
      <c r="J9">
        <v>7.9494275282131044</v>
      </c>
    </row>
    <row r="10" spans="1:17" x14ac:dyDescent="0.45">
      <c r="A10" s="8">
        <v>2</v>
      </c>
      <c r="B10" s="8">
        <v>3</v>
      </c>
      <c r="C10" s="7">
        <v>1</v>
      </c>
      <c r="D10" s="1">
        <v>1</v>
      </c>
      <c r="E10">
        <v>56.988707757142876</v>
      </c>
      <c r="F10">
        <v>13.104550552506003</v>
      </c>
      <c r="G10">
        <v>19.636399446823468</v>
      </c>
      <c r="H10">
        <v>25.089723553820402</v>
      </c>
      <c r="I10">
        <v>40.234982302388552</v>
      </c>
      <c r="J10">
        <v>5.7843395428867721</v>
      </c>
    </row>
    <row r="11" spans="1:17" x14ac:dyDescent="0.45">
      <c r="A11" s="8">
        <v>2</v>
      </c>
      <c r="B11" s="8">
        <v>1</v>
      </c>
      <c r="C11" s="7">
        <v>5</v>
      </c>
      <c r="D11" s="1">
        <v>2</v>
      </c>
      <c r="E11">
        <v>73.772045264285708</v>
      </c>
      <c r="F11">
        <v>15.488152209965083</v>
      </c>
      <c r="G11">
        <v>19.450519245486991</v>
      </c>
      <c r="H11">
        <v>29.288777379021166</v>
      </c>
      <c r="I11">
        <v>36.78661856760273</v>
      </c>
      <c r="J11">
        <v>5.602028663422602</v>
      </c>
    </row>
    <row r="12" spans="1:17" x14ac:dyDescent="0.45">
      <c r="A12" s="8">
        <v>2</v>
      </c>
      <c r="B12" s="8">
        <v>2</v>
      </c>
      <c r="C12" s="7">
        <v>6</v>
      </c>
      <c r="D12" s="1">
        <v>2</v>
      </c>
      <c r="E12">
        <v>53.658407162500012</v>
      </c>
      <c r="F12">
        <v>11.265372601502424</v>
      </c>
      <c r="G12">
        <v>14.89852454829979</v>
      </c>
      <c r="H12">
        <v>21.303315317681321</v>
      </c>
      <c r="I12">
        <v>28.967409712000194</v>
      </c>
      <c r="J12">
        <v>8.7470272113089749</v>
      </c>
    </row>
    <row r="13" spans="1:17" x14ac:dyDescent="0.45">
      <c r="A13" s="8">
        <v>2</v>
      </c>
      <c r="B13" s="8">
        <v>3</v>
      </c>
      <c r="C13" s="7">
        <v>4</v>
      </c>
      <c r="D13" s="1">
        <v>2</v>
      </c>
      <c r="E13">
        <v>67.799424437500008</v>
      </c>
      <c r="F13">
        <v>14.234223840129747</v>
      </c>
      <c r="G13">
        <v>19.845768458994442</v>
      </c>
      <c r="H13">
        <v>26.91754365304341</v>
      </c>
      <c r="I13">
        <v>38.486923480242609</v>
      </c>
      <c r="J13">
        <v>7.2924653829115282</v>
      </c>
    </row>
    <row r="14" spans="1:17" x14ac:dyDescent="0.45">
      <c r="A14" s="8">
        <v>3</v>
      </c>
      <c r="B14" s="8">
        <v>1</v>
      </c>
      <c r="C14" s="7">
        <v>3</v>
      </c>
      <c r="D14" s="1">
        <v>1</v>
      </c>
      <c r="E14">
        <v>54.177509726785708</v>
      </c>
      <c r="F14">
        <v>12.396788156835893</v>
      </c>
      <c r="G14">
        <v>19.513296485217158</v>
      </c>
      <c r="H14">
        <v>23.517471587516059</v>
      </c>
      <c r="I14">
        <v>38.685620039555182</v>
      </c>
      <c r="J14">
        <v>6.7456759176245731</v>
      </c>
    </row>
    <row r="15" spans="1:17" x14ac:dyDescent="0.45">
      <c r="A15" s="8">
        <v>3</v>
      </c>
      <c r="B15" s="8">
        <v>2</v>
      </c>
      <c r="C15" s="7">
        <v>1</v>
      </c>
      <c r="D15" s="1">
        <v>1</v>
      </c>
      <c r="E15">
        <v>67.955135707142915</v>
      </c>
      <c r="F15">
        <v>15.549356657011215</v>
      </c>
      <c r="G15">
        <v>21.824299686443982</v>
      </c>
      <c r="H15">
        <v>29.498088437025455</v>
      </c>
      <c r="I15">
        <v>43.152034361268875</v>
      </c>
      <c r="J15">
        <v>6.2389584778030098</v>
      </c>
    </row>
    <row r="16" spans="1:17" x14ac:dyDescent="0.45">
      <c r="A16" s="8">
        <v>3</v>
      </c>
      <c r="B16" s="8">
        <v>3</v>
      </c>
      <c r="C16" s="7">
        <v>2</v>
      </c>
      <c r="D16" s="1">
        <v>1</v>
      </c>
      <c r="E16">
        <v>60.972243882142877</v>
      </c>
      <c r="F16">
        <v>13.95154547829201</v>
      </c>
      <c r="G16">
        <v>18.535348564522703</v>
      </c>
      <c r="H16">
        <v>26.466942101188149</v>
      </c>
      <c r="I16">
        <v>35.490708896177019</v>
      </c>
      <c r="J16">
        <v>6.4184209044064797</v>
      </c>
    </row>
    <row r="17" spans="1:10" x14ac:dyDescent="0.45">
      <c r="A17" s="8">
        <v>3</v>
      </c>
      <c r="B17" s="8">
        <v>1</v>
      </c>
      <c r="C17" s="7">
        <v>6</v>
      </c>
      <c r="D17" s="1">
        <v>2</v>
      </c>
      <c r="E17">
        <v>60.833848521428578</v>
      </c>
      <c r="F17">
        <v>12.707259252761951</v>
      </c>
      <c r="G17">
        <v>18.891282156455471</v>
      </c>
      <c r="H17">
        <v>23.808435786268397</v>
      </c>
      <c r="I17">
        <v>37.779753092950223</v>
      </c>
      <c r="J17">
        <v>6.5462894049843987</v>
      </c>
    </row>
    <row r="18" spans="1:10" x14ac:dyDescent="0.45">
      <c r="A18" s="8">
        <v>3</v>
      </c>
      <c r="B18" s="8">
        <v>2</v>
      </c>
      <c r="C18" s="7">
        <v>4</v>
      </c>
      <c r="D18" s="1">
        <v>2</v>
      </c>
      <c r="E18">
        <v>63.947593266071436</v>
      </c>
      <c r="F18">
        <v>13.357672841229304</v>
      </c>
      <c r="G18">
        <v>16.998368038506932</v>
      </c>
      <c r="H18">
        <v>25.027056564165537</v>
      </c>
      <c r="I18">
        <v>31.971819570351247</v>
      </c>
      <c r="J18">
        <v>5.8724066721183572</v>
      </c>
    </row>
    <row r="19" spans="1:10" x14ac:dyDescent="0.45">
      <c r="A19" s="8">
        <v>3</v>
      </c>
      <c r="B19" s="8">
        <v>3</v>
      </c>
      <c r="C19" s="7">
        <v>5</v>
      </c>
      <c r="D19" s="1">
        <v>2</v>
      </c>
      <c r="E19">
        <v>59.133438800000036</v>
      </c>
      <c r="F19">
        <v>12.3520697046521</v>
      </c>
      <c r="G19">
        <v>16.733901552225337</v>
      </c>
      <c r="H19">
        <v>23.142949438668385</v>
      </c>
      <c r="I19">
        <v>32.247625948064595</v>
      </c>
      <c r="J19">
        <v>5.8724066721183572</v>
      </c>
    </row>
    <row r="22" spans="1:10" x14ac:dyDescent="0.45">
      <c r="A22" s="1" t="s">
        <v>136</v>
      </c>
      <c r="B22" s="1" t="s">
        <v>139</v>
      </c>
    </row>
    <row r="23" spans="1:10" x14ac:dyDescent="0.45">
      <c r="A23" s="1" t="s">
        <v>137</v>
      </c>
      <c r="B23" s="1" t="s">
        <v>140</v>
      </c>
    </row>
    <row r="24" spans="1:10" x14ac:dyDescent="0.45">
      <c r="A24" s="1" t="s">
        <v>138</v>
      </c>
      <c r="B24" s="1" t="s">
        <v>141</v>
      </c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E396E-0CA9-4B74-8B9E-7AFF55C25255}">
  <dimension ref="A1:AD269"/>
  <sheetViews>
    <sheetView zoomScale="110" zoomScaleNormal="110" workbookViewId="0">
      <pane xSplit="2" ySplit="1" topLeftCell="F222" activePane="bottomRight" state="frozen"/>
      <selection pane="topRight" activeCell="C1" sqref="C1"/>
      <selection pane="bottomLeft" activeCell="A2" sqref="A2"/>
      <selection pane="bottomRight" activeCell="K273" sqref="K273"/>
    </sheetView>
  </sheetViews>
  <sheetFormatPr defaultColWidth="9" defaultRowHeight="12.75" customHeight="1" x14ac:dyDescent="0.45"/>
  <cols>
    <col min="1" max="1" width="9" style="18"/>
    <col min="2" max="2" width="22.5" style="18" customWidth="1"/>
    <col min="3" max="3" width="22.33203125" style="18" customWidth="1"/>
    <col min="4" max="4" width="14.25" style="18" bestFit="1" customWidth="1"/>
    <col min="5" max="5" width="10.75" style="18" bestFit="1" customWidth="1"/>
    <col min="6" max="6" width="11.83203125" style="18" customWidth="1"/>
    <col min="7" max="7" width="9" style="18"/>
    <col min="8" max="8" width="16" style="18" customWidth="1"/>
    <col min="9" max="9" width="9" style="18"/>
    <col min="10" max="10" width="25.25" style="18" customWidth="1"/>
    <col min="11" max="16" width="9" style="18"/>
    <col min="17" max="17" width="9.5" style="18" bestFit="1" customWidth="1"/>
    <col min="18" max="16384" width="9" style="18"/>
  </cols>
  <sheetData>
    <row r="1" spans="1:30" ht="12.75" customHeight="1" x14ac:dyDescent="0.45">
      <c r="B1" s="141" t="s">
        <v>94</v>
      </c>
      <c r="C1" s="142"/>
      <c r="D1" s="142"/>
      <c r="E1" s="47"/>
      <c r="F1" s="66"/>
    </row>
    <row r="2" spans="1:30" ht="12.75" customHeight="1" x14ac:dyDescent="0.45">
      <c r="B2" s="127" t="s">
        <v>95</v>
      </c>
      <c r="C2" s="126"/>
      <c r="D2" s="125"/>
      <c r="E2" s="125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124"/>
      <c r="X2" s="124"/>
      <c r="Y2" s="124"/>
      <c r="Z2" s="124"/>
      <c r="AA2" s="124"/>
    </row>
    <row r="3" spans="1:30" ht="12.75" customHeight="1" x14ac:dyDescent="0.45">
      <c r="B3" s="132" t="s">
        <v>93</v>
      </c>
      <c r="C3" s="111" t="s">
        <v>144</v>
      </c>
      <c r="D3" s="111" t="s">
        <v>145</v>
      </c>
      <c r="E3" s="132" t="s">
        <v>148</v>
      </c>
      <c r="F3" s="132" t="s">
        <v>147</v>
      </c>
      <c r="G3" s="134" t="s">
        <v>96</v>
      </c>
      <c r="H3" s="135"/>
      <c r="I3" s="132" t="s">
        <v>107</v>
      </c>
      <c r="J3" s="134" t="s">
        <v>98</v>
      </c>
      <c r="K3" s="135"/>
      <c r="L3" s="132" t="s">
        <v>107</v>
      </c>
      <c r="M3" s="132" t="s">
        <v>99</v>
      </c>
      <c r="N3" s="132"/>
      <c r="O3" s="132" t="s">
        <v>103</v>
      </c>
      <c r="P3" s="132" t="s">
        <v>104</v>
      </c>
      <c r="Q3" s="133"/>
      <c r="R3" s="77"/>
      <c r="S3" s="114"/>
      <c r="T3" s="50"/>
      <c r="U3" s="114"/>
      <c r="V3" s="114"/>
      <c r="W3" s="114"/>
      <c r="X3" s="114"/>
      <c r="Y3" s="50"/>
      <c r="Z3" s="114"/>
      <c r="AA3" s="114"/>
      <c r="AB3" s="114"/>
      <c r="AC3" s="114"/>
    </row>
    <row r="4" spans="1:30" ht="12.75" customHeight="1" x14ac:dyDescent="0.45">
      <c r="B4" s="133"/>
      <c r="C4" s="111" t="s">
        <v>88</v>
      </c>
      <c r="D4" s="111" t="s">
        <v>88</v>
      </c>
      <c r="E4" s="133"/>
      <c r="F4" s="133"/>
      <c r="G4" s="111" t="s">
        <v>92</v>
      </c>
      <c r="H4" s="111" t="s">
        <v>86</v>
      </c>
      <c r="I4" s="133"/>
      <c r="J4" s="111" t="s">
        <v>92</v>
      </c>
      <c r="K4" s="111" t="s">
        <v>86</v>
      </c>
      <c r="L4" s="133"/>
      <c r="M4" s="111" t="s">
        <v>100</v>
      </c>
      <c r="N4" s="111" t="s">
        <v>101</v>
      </c>
      <c r="O4" s="133"/>
      <c r="P4" s="111" t="s">
        <v>105</v>
      </c>
      <c r="Q4" s="111" t="s">
        <v>102</v>
      </c>
      <c r="R4" s="77"/>
      <c r="S4" s="114"/>
      <c r="T4" s="50"/>
      <c r="U4" s="114"/>
      <c r="V4" s="114"/>
      <c r="W4" s="114"/>
      <c r="X4" s="114"/>
      <c r="Y4" s="50"/>
      <c r="Z4" s="114"/>
      <c r="AA4" s="114"/>
      <c r="AB4" s="123"/>
      <c r="AC4" s="114"/>
    </row>
    <row r="5" spans="1:30" ht="12.75" customHeight="1" x14ac:dyDescent="0.45">
      <c r="A5" s="18" t="s">
        <v>23</v>
      </c>
      <c r="B5" s="29" t="s">
        <v>31</v>
      </c>
      <c r="C5" s="120">
        <v>253</v>
      </c>
      <c r="D5" s="120">
        <v>291</v>
      </c>
      <c r="E5" s="39">
        <f>AVERAGE(C5:D5)</f>
        <v>272</v>
      </c>
      <c r="F5" s="39">
        <f>(E5^0.75)</f>
        <v>66.977152228741559</v>
      </c>
      <c r="G5" s="119">
        <f>16000</f>
        <v>16000</v>
      </c>
      <c r="H5" s="119">
        <f>1200</f>
        <v>1200</v>
      </c>
      <c r="I5" s="21">
        <f>G5+H5</f>
        <v>17200</v>
      </c>
      <c r="J5" s="21">
        <f>(G5*(100-$D$43)/100)*((100-$E$43)/100)</f>
        <v>3343.8720000000012</v>
      </c>
      <c r="K5" s="21">
        <f>(H5*(100-$D$41)/100)*((100-$E$41)/100)</f>
        <v>1033.9308000000001</v>
      </c>
      <c r="L5" s="21">
        <f>J5+K5</f>
        <v>4377.8028000000013</v>
      </c>
      <c r="M5" s="119">
        <v>11275</v>
      </c>
      <c r="N5" s="21">
        <f>(M5*(Q5/P5))</f>
        <v>1415.8105022831051</v>
      </c>
      <c r="O5" s="119">
        <v>11060</v>
      </c>
      <c r="P5" s="119">
        <v>4380</v>
      </c>
      <c r="Q5" s="119">
        <v>550</v>
      </c>
      <c r="R5" s="77"/>
      <c r="S5" s="114"/>
      <c r="T5" s="50"/>
      <c r="U5" s="114"/>
      <c r="V5" s="114"/>
      <c r="W5" s="114"/>
      <c r="X5" s="114"/>
      <c r="Y5" s="50"/>
      <c r="Z5" s="114"/>
      <c r="AA5" s="114"/>
      <c r="AB5" s="123"/>
      <c r="AC5" s="114"/>
    </row>
    <row r="6" spans="1:30" ht="12.75" customHeight="1" x14ac:dyDescent="0.45">
      <c r="A6" s="18" t="s">
        <v>25</v>
      </c>
      <c r="B6" s="29" t="s">
        <v>30</v>
      </c>
      <c r="C6" s="120">
        <v>260</v>
      </c>
      <c r="D6" s="120">
        <v>309</v>
      </c>
      <c r="E6" s="39">
        <f>AVERAGE(C6:D6)</f>
        <v>284.5</v>
      </c>
      <c r="F6" s="39">
        <f>(E6^0.75)</f>
        <v>69.272634259364537</v>
      </c>
      <c r="G6" s="119">
        <f>16000</f>
        <v>16000</v>
      </c>
      <c r="H6" s="119">
        <f>1200</f>
        <v>1200</v>
      </c>
      <c r="I6" s="21">
        <f>G6+H6</f>
        <v>17200</v>
      </c>
      <c r="J6" s="21">
        <f>(G6*(100-$D$43)/100)*((100-$E$43)/100)</f>
        <v>3343.8720000000012</v>
      </c>
      <c r="K6" s="21">
        <f>(H6*(100-$D$41)/100)*((100-$E$41)/100)</f>
        <v>1033.9308000000001</v>
      </c>
      <c r="L6" s="21">
        <f>J6+K6</f>
        <v>4377.8028000000013</v>
      </c>
      <c r="M6" s="119">
        <v>13890</v>
      </c>
      <c r="N6" s="21">
        <f>(M6*(Q6/P6))</f>
        <v>1943.9729119638826</v>
      </c>
      <c r="O6" s="119">
        <v>17007.5</v>
      </c>
      <c r="P6" s="119">
        <v>2215</v>
      </c>
      <c r="Q6" s="119">
        <v>310</v>
      </c>
      <c r="R6" s="77"/>
      <c r="S6" s="114"/>
      <c r="T6" s="50"/>
      <c r="U6" s="114"/>
      <c r="V6" s="114"/>
      <c r="W6" s="114"/>
      <c r="X6" s="114"/>
      <c r="Y6" s="50"/>
      <c r="Z6" s="114"/>
      <c r="AA6" s="114"/>
      <c r="AB6" s="114"/>
      <c r="AC6" s="114"/>
    </row>
    <row r="7" spans="1:30" ht="12.75" customHeight="1" x14ac:dyDescent="0.45">
      <c r="A7" s="18" t="s">
        <v>24</v>
      </c>
      <c r="B7" s="29" t="s">
        <v>29</v>
      </c>
      <c r="C7" s="120">
        <v>242</v>
      </c>
      <c r="D7" s="120">
        <v>295</v>
      </c>
      <c r="E7" s="39">
        <f>AVERAGE(C7:D7)</f>
        <v>268.5</v>
      </c>
      <c r="F7" s="39">
        <f>(E7^0.75)</f>
        <v>66.329728175190837</v>
      </c>
      <c r="G7" s="119">
        <f>16000</f>
        <v>16000</v>
      </c>
      <c r="H7" s="119">
        <f>1200</f>
        <v>1200</v>
      </c>
      <c r="I7" s="21">
        <f>G7+H7</f>
        <v>17200</v>
      </c>
      <c r="J7" s="21">
        <f>(G7*(100-$D$43)/100)*((100-$E$43)/100)</f>
        <v>3343.8720000000012</v>
      </c>
      <c r="K7" s="21">
        <f>(H7*(100-$D$41)/100)*((100-$E$41)/100)</f>
        <v>1033.9308000000001</v>
      </c>
      <c r="L7" s="21">
        <f>J7+K7</f>
        <v>4377.8028000000013</v>
      </c>
      <c r="M7" s="119">
        <v>12810</v>
      </c>
      <c r="N7" s="21">
        <f>(M7*(Q7/P7))</f>
        <v>1668.5294117647061</v>
      </c>
      <c r="O7" s="121">
        <v>7485</v>
      </c>
      <c r="P7" s="121">
        <v>1190</v>
      </c>
      <c r="Q7" s="121">
        <v>155</v>
      </c>
      <c r="R7" s="77"/>
      <c r="S7" s="114"/>
      <c r="T7" s="50"/>
      <c r="U7" s="114"/>
      <c r="V7" s="114"/>
      <c r="W7" s="114"/>
      <c r="X7" s="114"/>
      <c r="Y7" s="50"/>
      <c r="Z7" s="114"/>
      <c r="AA7" s="114"/>
      <c r="AB7" s="114"/>
      <c r="AC7" s="114"/>
    </row>
    <row r="8" spans="1:30" ht="11.25" customHeight="1" x14ac:dyDescent="0.45">
      <c r="B8" s="29"/>
      <c r="C8" s="120"/>
      <c r="D8" s="120"/>
      <c r="E8" s="39">
        <f>AVERAGE(E5:E7)</f>
        <v>275</v>
      </c>
      <c r="F8" s="39"/>
      <c r="G8" s="39">
        <f>(G7/10)/E8</f>
        <v>5.8181818181818183</v>
      </c>
      <c r="H8" s="119"/>
      <c r="I8" s="21"/>
      <c r="J8" s="39">
        <f>(J7/10)/E8</f>
        <v>1.2159534545454549</v>
      </c>
      <c r="K8" s="21"/>
      <c r="L8" s="21"/>
      <c r="M8" s="119"/>
      <c r="N8" s="21"/>
      <c r="O8" s="121"/>
      <c r="P8" s="121"/>
      <c r="Q8" s="121"/>
      <c r="R8" s="77"/>
      <c r="S8" s="114"/>
      <c r="T8" s="50"/>
      <c r="U8" s="114"/>
      <c r="V8" s="114"/>
      <c r="W8" s="114"/>
      <c r="X8" s="114"/>
      <c r="Y8" s="50"/>
      <c r="Z8" s="114"/>
      <c r="AA8" s="114"/>
      <c r="AB8" s="114"/>
      <c r="AC8" s="114"/>
    </row>
    <row r="9" spans="1:30" ht="11.25" customHeight="1" x14ac:dyDescent="0.45">
      <c r="B9" s="29"/>
      <c r="C9" s="120"/>
      <c r="D9" s="120"/>
      <c r="E9" s="39">
        <f>STDEV(E5:E7)</f>
        <v>8.4113019206303612</v>
      </c>
      <c r="F9" s="39"/>
      <c r="G9" s="122"/>
      <c r="H9" s="119"/>
      <c r="I9" s="21"/>
      <c r="J9" s="39"/>
      <c r="K9" s="21"/>
      <c r="L9" s="21"/>
      <c r="M9" s="119"/>
      <c r="N9" s="21"/>
      <c r="O9" s="121"/>
      <c r="P9" s="121"/>
      <c r="Q9" s="121"/>
      <c r="R9" s="77"/>
      <c r="S9" s="114"/>
      <c r="T9" s="50"/>
      <c r="U9" s="114"/>
      <c r="V9" s="114"/>
      <c r="W9" s="114"/>
      <c r="X9" s="114"/>
      <c r="Y9" s="50"/>
      <c r="Z9" s="114"/>
      <c r="AA9" s="114"/>
      <c r="AB9" s="114"/>
      <c r="AC9" s="114"/>
    </row>
    <row r="10" spans="1:30" s="27" customFormat="1" ht="12.75" customHeight="1" x14ac:dyDescent="0.45">
      <c r="A10" s="27" t="s">
        <v>18</v>
      </c>
      <c r="B10" s="29" t="s">
        <v>31</v>
      </c>
      <c r="C10" s="120">
        <v>307</v>
      </c>
      <c r="D10" s="120">
        <v>357</v>
      </c>
      <c r="E10" s="39">
        <f>AVERAGE(C10:D10)</f>
        <v>332</v>
      </c>
      <c r="F10" s="39">
        <f>(E10^0.75)</f>
        <v>77.777425365923591</v>
      </c>
      <c r="G10" s="119">
        <v>18000</v>
      </c>
      <c r="H10" s="119">
        <f>1200</f>
        <v>1200</v>
      </c>
      <c r="I10" s="21">
        <f>G10+H10</f>
        <v>19200</v>
      </c>
      <c r="J10" s="21">
        <f>(G10*(100-$D$43)/100)*((100-$E$43)/100)</f>
        <v>3761.8560000000011</v>
      </c>
      <c r="K10" s="21">
        <f>(H10*(100-$D$41)/100)*((100-$E$41)/100)</f>
        <v>1033.9308000000001</v>
      </c>
      <c r="L10" s="21">
        <f>J10+K10</f>
        <v>4795.7868000000017</v>
      </c>
      <c r="M10" s="119">
        <v>9060</v>
      </c>
      <c r="N10" s="21">
        <f>(M10*(Q10/P10))</f>
        <v>1558.0891719745223</v>
      </c>
      <c r="O10" s="119">
        <v>17948.330000000002</v>
      </c>
      <c r="P10" s="119">
        <v>3925</v>
      </c>
      <c r="Q10" s="119">
        <v>675</v>
      </c>
      <c r="R10" s="113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</row>
    <row r="11" spans="1:30" ht="12.75" customHeight="1" x14ac:dyDescent="0.45">
      <c r="A11" s="27" t="s">
        <v>22</v>
      </c>
      <c r="B11" s="29" t="s">
        <v>30</v>
      </c>
      <c r="C11" s="120">
        <v>371</v>
      </c>
      <c r="D11" s="120">
        <v>419</v>
      </c>
      <c r="E11" s="39">
        <f>AVERAGE(C11:D11)</f>
        <v>395</v>
      </c>
      <c r="F11" s="39">
        <f>(E11^0.75)</f>
        <v>88.602876540036547</v>
      </c>
      <c r="G11" s="119">
        <v>18000</v>
      </c>
      <c r="H11" s="119">
        <f>1200</f>
        <v>1200</v>
      </c>
      <c r="I11" s="21">
        <f>G11+H11</f>
        <v>19200</v>
      </c>
      <c r="J11" s="21">
        <f>(G11*(100-$D$43)/100)*((100-$E$43)/100)</f>
        <v>3761.8560000000011</v>
      </c>
      <c r="K11" s="21">
        <f>(H11*(100-$D$41)/100)*((100-$E$41)/100)</f>
        <v>1033.9308000000001</v>
      </c>
      <c r="L11" s="21">
        <f>J11+K11</f>
        <v>4795.7868000000017</v>
      </c>
      <c r="M11" s="119">
        <v>12215</v>
      </c>
      <c r="N11" s="21">
        <f>(M11*(Q11/P11))</f>
        <v>1930.7580645161288</v>
      </c>
      <c r="O11" s="119">
        <v>22215</v>
      </c>
      <c r="P11" s="119">
        <v>4650</v>
      </c>
      <c r="Q11" s="119">
        <v>735</v>
      </c>
      <c r="S11" s="77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</row>
    <row r="12" spans="1:30" ht="12.75" customHeight="1" x14ac:dyDescent="0.45">
      <c r="A12" s="27" t="s">
        <v>20</v>
      </c>
      <c r="B12" s="29" t="s">
        <v>29</v>
      </c>
      <c r="C12" s="120">
        <v>335</v>
      </c>
      <c r="D12" s="120">
        <v>370</v>
      </c>
      <c r="E12" s="39">
        <f>AVERAGE(C12:D12)</f>
        <v>352.5</v>
      </c>
      <c r="F12" s="39">
        <f>(E12^0.75)</f>
        <v>81.352207301463594</v>
      </c>
      <c r="G12" s="119">
        <v>18000</v>
      </c>
      <c r="H12" s="119">
        <f>1200</f>
        <v>1200</v>
      </c>
      <c r="I12" s="21">
        <f>G12+H12</f>
        <v>19200</v>
      </c>
      <c r="J12" s="21">
        <f>(G12*(100-$D$43)/100)*((100-$E$43)/100)</f>
        <v>3761.8560000000011</v>
      </c>
      <c r="K12" s="21">
        <f>(H12*(100-$D$41)/100)*((100-$E$41)/100)</f>
        <v>1033.9308000000001</v>
      </c>
      <c r="L12" s="21">
        <f>J12+K12</f>
        <v>4795.7868000000017</v>
      </c>
      <c r="M12" s="119">
        <v>9050</v>
      </c>
      <c r="N12" s="21">
        <f>(M12*(Q12/P12))</f>
        <v>1770.1321585903083</v>
      </c>
      <c r="O12" s="119">
        <v>5840</v>
      </c>
      <c r="P12" s="119">
        <v>2270</v>
      </c>
      <c r="Q12" s="119">
        <v>444</v>
      </c>
      <c r="S12" s="77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</row>
    <row r="13" spans="1:30" ht="12.75" customHeight="1" x14ac:dyDescent="0.45">
      <c r="A13" s="27"/>
      <c r="B13" s="29"/>
      <c r="C13" s="120"/>
      <c r="D13" s="120"/>
      <c r="E13" s="39">
        <f>AVERAGE(E10:E12)</f>
        <v>359.83333333333331</v>
      </c>
      <c r="F13" s="39"/>
      <c r="G13" s="39">
        <f>(G12/10)/E13</f>
        <v>5.0023158869847153</v>
      </c>
      <c r="H13" s="119"/>
      <c r="I13" s="21"/>
      <c r="J13" s="39">
        <f>(J12/10)/E13</f>
        <v>1.04544400185271</v>
      </c>
      <c r="K13" s="21"/>
      <c r="L13" s="21"/>
      <c r="M13" s="119"/>
      <c r="N13" s="21"/>
      <c r="O13" s="119"/>
      <c r="P13" s="119"/>
      <c r="Q13" s="119"/>
      <c r="S13" s="77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</row>
    <row r="14" spans="1:30" ht="12.75" customHeight="1" x14ac:dyDescent="0.45">
      <c r="A14" s="27"/>
      <c r="B14" s="29"/>
      <c r="C14" s="120"/>
      <c r="D14" s="120"/>
      <c r="E14" s="39">
        <f>STDEV(E10:E12)</f>
        <v>32.133834712547667</v>
      </c>
      <c r="F14" s="39"/>
      <c r="G14" s="119"/>
      <c r="H14" s="119"/>
      <c r="I14" s="21"/>
      <c r="J14" s="39"/>
      <c r="K14" s="21"/>
      <c r="L14" s="21"/>
      <c r="M14" s="119"/>
      <c r="N14" s="21"/>
      <c r="O14" s="119"/>
      <c r="P14" s="119"/>
      <c r="Q14" s="119"/>
      <c r="S14" s="77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</row>
    <row r="15" spans="1:30" ht="12.75" customHeight="1" x14ac:dyDescent="0.45">
      <c r="B15" s="118" t="s">
        <v>150</v>
      </c>
      <c r="C15" s="117">
        <f>AVERAGE(C5:C12)</f>
        <v>294.66666666666669</v>
      </c>
      <c r="D15" s="117">
        <f>AVERAGE(D5:D12)</f>
        <v>340.16666666666669</v>
      </c>
      <c r="E15" s="117">
        <f>AVERAGE(E5:E7,E10:E12)</f>
        <v>317.41666666666669</v>
      </c>
      <c r="F15" s="117">
        <f>AVERAGE(F5:F12)</f>
        <v>75.052003978453442</v>
      </c>
      <c r="G15" s="22">
        <f>AVERAGE(G5:G7,G10:G12)</f>
        <v>17000</v>
      </c>
      <c r="H15" s="22">
        <f>AVERAGE(H5:H12)</f>
        <v>1200</v>
      </c>
      <c r="I15" s="22">
        <f t="shared" ref="I15:Q15" si="0">AVERAGE(I5:I6)</f>
        <v>17200</v>
      </c>
      <c r="J15" s="22">
        <f t="shared" si="0"/>
        <v>3343.8720000000012</v>
      </c>
      <c r="K15" s="22">
        <f t="shared" si="0"/>
        <v>1033.9308000000001</v>
      </c>
      <c r="L15" s="22">
        <f t="shared" si="0"/>
        <v>4377.8028000000013</v>
      </c>
      <c r="M15" s="22">
        <f t="shared" si="0"/>
        <v>12582.5</v>
      </c>
      <c r="N15" s="22">
        <f t="shared" si="0"/>
        <v>1679.8917071234937</v>
      </c>
      <c r="O15" s="22">
        <f t="shared" si="0"/>
        <v>14033.75</v>
      </c>
      <c r="P15" s="22">
        <f t="shared" si="0"/>
        <v>3297.5</v>
      </c>
      <c r="Q15" s="22">
        <f t="shared" si="0"/>
        <v>430</v>
      </c>
      <c r="R15" s="18">
        <f>(L15/1000/E15)*100</f>
        <v>1.3791975216592285</v>
      </c>
      <c r="S15" s="77">
        <f>(D15-C15)/78</f>
        <v>0.58333333333333337</v>
      </c>
      <c r="T15" s="114"/>
      <c r="U15" s="50"/>
      <c r="V15" s="114"/>
      <c r="W15" s="114"/>
      <c r="X15" s="114"/>
      <c r="Y15" s="114"/>
      <c r="Z15" s="50"/>
      <c r="AA15" s="114"/>
      <c r="AB15" s="114"/>
      <c r="AC15" s="114"/>
      <c r="AD15" s="114"/>
    </row>
    <row r="16" spans="1:30" ht="12.75" customHeight="1" x14ac:dyDescent="0.45">
      <c r="B16" s="118"/>
      <c r="C16" s="117"/>
      <c r="D16" s="117"/>
      <c r="E16" s="117"/>
      <c r="F16" s="117"/>
      <c r="G16" s="39">
        <f>(G15/10)/E15</f>
        <v>5.3557364137568912</v>
      </c>
      <c r="H16" s="115"/>
      <c r="I16" s="22"/>
      <c r="J16" s="116"/>
      <c r="K16" s="115"/>
      <c r="L16" s="22"/>
      <c r="M16" s="22"/>
      <c r="N16" s="22"/>
      <c r="O16" s="22"/>
      <c r="P16" s="116"/>
      <c r="Q16" s="115"/>
      <c r="S16" s="77"/>
      <c r="T16" s="114"/>
      <c r="U16" s="50"/>
      <c r="V16" s="114"/>
      <c r="W16" s="114"/>
      <c r="X16" s="114"/>
      <c r="Y16" s="114"/>
      <c r="Z16" s="50"/>
      <c r="AA16" s="114"/>
      <c r="AB16" s="114"/>
      <c r="AC16" s="114"/>
      <c r="AD16" s="114"/>
    </row>
    <row r="17" spans="1:29" s="27" customFormat="1" ht="12.75" customHeight="1" x14ac:dyDescent="0.45">
      <c r="B17" s="132" t="s">
        <v>91</v>
      </c>
      <c r="C17" s="111" t="s">
        <v>144</v>
      </c>
      <c r="D17" s="111" t="s">
        <v>145</v>
      </c>
      <c r="E17" s="132" t="s">
        <v>148</v>
      </c>
      <c r="F17" s="132" t="s">
        <v>147</v>
      </c>
      <c r="G17" s="134" t="s">
        <v>97</v>
      </c>
      <c r="H17" s="135"/>
      <c r="I17" s="132" t="s">
        <v>107</v>
      </c>
      <c r="J17" s="134" t="s">
        <v>98</v>
      </c>
      <c r="K17" s="135"/>
      <c r="L17" s="132" t="s">
        <v>107</v>
      </c>
      <c r="M17" s="132" t="s">
        <v>99</v>
      </c>
      <c r="N17" s="132"/>
      <c r="O17" s="132" t="s">
        <v>103</v>
      </c>
      <c r="P17" s="134" t="s">
        <v>104</v>
      </c>
      <c r="Q17" s="135"/>
      <c r="R17" s="113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</row>
    <row r="18" spans="1:29" s="27" customFormat="1" ht="12.75" customHeight="1" x14ac:dyDescent="0.45">
      <c r="B18" s="133"/>
      <c r="C18" s="111" t="s">
        <v>88</v>
      </c>
      <c r="D18" s="111" t="s">
        <v>88</v>
      </c>
      <c r="E18" s="133"/>
      <c r="F18" s="133"/>
      <c r="G18" s="111" t="s">
        <v>90</v>
      </c>
      <c r="H18" s="111" t="s">
        <v>86</v>
      </c>
      <c r="I18" s="133"/>
      <c r="J18" s="111" t="s">
        <v>90</v>
      </c>
      <c r="K18" s="111" t="s">
        <v>86</v>
      </c>
      <c r="L18" s="133"/>
      <c r="M18" s="111" t="s">
        <v>100</v>
      </c>
      <c r="N18" s="111" t="s">
        <v>101</v>
      </c>
      <c r="O18" s="133"/>
      <c r="P18" s="111" t="s">
        <v>105</v>
      </c>
      <c r="Q18" s="111" t="s">
        <v>102</v>
      </c>
      <c r="R18" s="113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</row>
    <row r="19" spans="1:29" s="27" customFormat="1" ht="12.75" customHeight="1" x14ac:dyDescent="0.45">
      <c r="A19" s="27" t="s">
        <v>24</v>
      </c>
      <c r="B19" s="24" t="s">
        <v>28</v>
      </c>
      <c r="C19" s="110">
        <v>242</v>
      </c>
      <c r="D19" s="110">
        <v>295</v>
      </c>
      <c r="E19" s="109">
        <f t="shared" ref="E19:E24" si="1">AVERAGE(C19:D19)</f>
        <v>268.5</v>
      </c>
      <c r="F19" s="109">
        <f t="shared" ref="F19:F24" si="2">(E19^0.75)</f>
        <v>66.329728175190837</v>
      </c>
      <c r="G19" s="107">
        <v>16000</v>
      </c>
      <c r="H19" s="107">
        <v>1200</v>
      </c>
      <c r="I19" s="108">
        <f t="shared" ref="I19:I24" si="3">G19+H19</f>
        <v>17200</v>
      </c>
      <c r="J19" s="108">
        <f t="shared" ref="J19:J24" si="4">(G19*(100-$D$45)/100)*((100-$E$45)/100)</f>
        <v>3314.8416000000011</v>
      </c>
      <c r="K19" s="108">
        <f t="shared" ref="K19:K24" si="5">(H19*(100-$D$41)/100)*((100-$E$41)/100)</f>
        <v>1033.9308000000001</v>
      </c>
      <c r="L19" s="108">
        <f t="shared" ref="L19:L24" si="6">J19+K19</f>
        <v>4348.7724000000017</v>
      </c>
      <c r="M19" s="107">
        <v>7890</v>
      </c>
      <c r="N19" s="108">
        <f t="shared" ref="N19:N24" si="7">(M19*(Q19/P19))</f>
        <v>1481.4556962025317</v>
      </c>
      <c r="O19" s="107">
        <v>32307.5</v>
      </c>
      <c r="P19" s="107">
        <v>2370</v>
      </c>
      <c r="Q19" s="107">
        <v>445</v>
      </c>
      <c r="R19" s="113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</row>
    <row r="20" spans="1:29" s="27" customFormat="1" ht="12.75" customHeight="1" x14ac:dyDescent="0.45">
      <c r="A20" s="27" t="s">
        <v>23</v>
      </c>
      <c r="B20" s="24" t="s">
        <v>27</v>
      </c>
      <c r="C20" s="110">
        <v>253</v>
      </c>
      <c r="D20" s="110">
        <v>291</v>
      </c>
      <c r="E20" s="109">
        <f t="shared" si="1"/>
        <v>272</v>
      </c>
      <c r="F20" s="109">
        <f t="shared" si="2"/>
        <v>66.977152228741559</v>
      </c>
      <c r="G20" s="107">
        <v>16000</v>
      </c>
      <c r="H20" s="107">
        <v>1200</v>
      </c>
      <c r="I20" s="108">
        <f t="shared" si="3"/>
        <v>17200</v>
      </c>
      <c r="J20" s="108">
        <f t="shared" si="4"/>
        <v>3314.8416000000011</v>
      </c>
      <c r="K20" s="108">
        <f t="shared" si="5"/>
        <v>1033.9308000000001</v>
      </c>
      <c r="L20" s="108">
        <f t="shared" si="6"/>
        <v>4348.7724000000017</v>
      </c>
      <c r="M20" s="107">
        <v>10640</v>
      </c>
      <c r="N20" s="108">
        <f t="shared" si="7"/>
        <v>1814.0996168582376</v>
      </c>
      <c r="O20" s="107">
        <v>10812.5</v>
      </c>
      <c r="P20" s="107">
        <v>2610</v>
      </c>
      <c r="Q20" s="107">
        <v>445</v>
      </c>
      <c r="R20" s="113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</row>
    <row r="21" spans="1:29" ht="12.75" customHeight="1" x14ac:dyDescent="0.45">
      <c r="A21" s="18" t="s">
        <v>25</v>
      </c>
      <c r="B21" s="24" t="s">
        <v>26</v>
      </c>
      <c r="C21" s="110">
        <v>260</v>
      </c>
      <c r="D21" s="110">
        <v>309</v>
      </c>
      <c r="E21" s="109">
        <f t="shared" si="1"/>
        <v>284.5</v>
      </c>
      <c r="F21" s="109">
        <f t="shared" si="2"/>
        <v>69.272634259364537</v>
      </c>
      <c r="G21" s="107">
        <v>16000</v>
      </c>
      <c r="H21" s="107">
        <v>1200</v>
      </c>
      <c r="I21" s="108">
        <f t="shared" si="3"/>
        <v>17200</v>
      </c>
      <c r="J21" s="108">
        <f t="shared" si="4"/>
        <v>3314.8416000000011</v>
      </c>
      <c r="K21" s="108">
        <f t="shared" si="5"/>
        <v>1033.9308000000001</v>
      </c>
      <c r="L21" s="108">
        <f t="shared" si="6"/>
        <v>4348.7724000000017</v>
      </c>
      <c r="M21" s="107">
        <v>12180</v>
      </c>
      <c r="N21" s="108">
        <f t="shared" si="7"/>
        <v>1676.4963503649635</v>
      </c>
      <c r="O21" s="107">
        <v>20953.330000000002</v>
      </c>
      <c r="P21" s="107">
        <v>4795</v>
      </c>
      <c r="Q21" s="107">
        <v>660</v>
      </c>
    </row>
    <row r="22" spans="1:29" ht="12.75" customHeight="1" x14ac:dyDescent="0.45">
      <c r="A22" s="18" t="s">
        <v>20</v>
      </c>
      <c r="B22" s="24" t="s">
        <v>28</v>
      </c>
      <c r="C22" s="110">
        <v>335</v>
      </c>
      <c r="D22" s="110">
        <v>370</v>
      </c>
      <c r="E22" s="109">
        <f t="shared" si="1"/>
        <v>352.5</v>
      </c>
      <c r="F22" s="109">
        <f t="shared" si="2"/>
        <v>81.352207301463594</v>
      </c>
      <c r="G22" s="107">
        <v>18000</v>
      </c>
      <c r="H22" s="107">
        <v>1200</v>
      </c>
      <c r="I22" s="108">
        <f t="shared" si="3"/>
        <v>19200</v>
      </c>
      <c r="J22" s="108">
        <f t="shared" si="4"/>
        <v>3729.1968000000011</v>
      </c>
      <c r="K22" s="108">
        <f t="shared" si="5"/>
        <v>1033.9308000000001</v>
      </c>
      <c r="L22" s="108">
        <f t="shared" si="6"/>
        <v>4763.1276000000016</v>
      </c>
      <c r="M22" s="107">
        <v>8170</v>
      </c>
      <c r="N22" s="108">
        <f t="shared" si="7"/>
        <v>1585.2238805970151</v>
      </c>
      <c r="O22" s="107">
        <v>8127.5</v>
      </c>
      <c r="P22" s="107">
        <v>3350</v>
      </c>
      <c r="Q22" s="107">
        <v>650</v>
      </c>
    </row>
    <row r="23" spans="1:29" ht="12.75" customHeight="1" x14ac:dyDescent="0.45">
      <c r="A23" s="18" t="s">
        <v>18</v>
      </c>
      <c r="B23" s="24" t="s">
        <v>27</v>
      </c>
      <c r="C23" s="110">
        <v>307</v>
      </c>
      <c r="D23" s="110">
        <v>357</v>
      </c>
      <c r="E23" s="109">
        <f t="shared" si="1"/>
        <v>332</v>
      </c>
      <c r="F23" s="109">
        <f t="shared" si="2"/>
        <v>77.777425365923591</v>
      </c>
      <c r="G23" s="107">
        <v>18000</v>
      </c>
      <c r="H23" s="107">
        <v>1200</v>
      </c>
      <c r="I23" s="108">
        <f t="shared" si="3"/>
        <v>19200</v>
      </c>
      <c r="J23" s="108">
        <f t="shared" si="4"/>
        <v>3729.1968000000011</v>
      </c>
      <c r="K23" s="108">
        <f t="shared" si="5"/>
        <v>1033.9308000000001</v>
      </c>
      <c r="L23" s="108">
        <f t="shared" si="6"/>
        <v>4763.1276000000016</v>
      </c>
      <c r="M23" s="107">
        <v>9780</v>
      </c>
      <c r="N23" s="108">
        <f t="shared" si="7"/>
        <v>1777.0196078431372</v>
      </c>
      <c r="O23" s="107">
        <v>11550</v>
      </c>
      <c r="P23" s="107">
        <v>3825</v>
      </c>
      <c r="Q23" s="107">
        <v>695</v>
      </c>
    </row>
    <row r="24" spans="1:29" ht="12.75" customHeight="1" x14ac:dyDescent="0.45">
      <c r="A24" s="18" t="s">
        <v>22</v>
      </c>
      <c r="B24" s="24" t="s">
        <v>26</v>
      </c>
      <c r="C24" s="110">
        <v>371</v>
      </c>
      <c r="D24" s="110">
        <v>419</v>
      </c>
      <c r="E24" s="109">
        <f t="shared" si="1"/>
        <v>395</v>
      </c>
      <c r="F24" s="109">
        <f t="shared" si="2"/>
        <v>88.602876540036547</v>
      </c>
      <c r="G24" s="107">
        <v>18000</v>
      </c>
      <c r="H24" s="107">
        <v>1200</v>
      </c>
      <c r="I24" s="108">
        <f t="shared" si="3"/>
        <v>19200</v>
      </c>
      <c r="J24" s="108">
        <f t="shared" si="4"/>
        <v>3729.1968000000011</v>
      </c>
      <c r="K24" s="108">
        <f t="shared" si="5"/>
        <v>1033.9308000000001</v>
      </c>
      <c r="L24" s="108">
        <f t="shared" si="6"/>
        <v>4763.1276000000016</v>
      </c>
      <c r="M24" s="107">
        <v>11340</v>
      </c>
      <c r="N24" s="108">
        <f t="shared" si="7"/>
        <v>1761.2534059945503</v>
      </c>
      <c r="O24" s="107">
        <v>23842.5</v>
      </c>
      <c r="P24" s="107">
        <v>3670</v>
      </c>
      <c r="Q24" s="107">
        <v>570</v>
      </c>
    </row>
    <row r="25" spans="1:29" ht="12.75" customHeight="1" x14ac:dyDescent="0.45">
      <c r="B25" s="106" t="s">
        <v>120</v>
      </c>
      <c r="C25" s="105">
        <f>AVERAGE(C19:C24)</f>
        <v>294.66666666666669</v>
      </c>
      <c r="D25" s="105">
        <f>AVERAGE(D19:D24)</f>
        <v>340.16666666666669</v>
      </c>
      <c r="E25" s="105">
        <f>AVERAGE(E19:E24)</f>
        <v>317.41666666666669</v>
      </c>
      <c r="F25" s="105">
        <f>AVERAGE(F19:F24)</f>
        <v>75.052003978453442</v>
      </c>
      <c r="G25" s="104">
        <f t="shared" ref="G25:O25" si="8">AVERAGE(G19:G22)</f>
        <v>16500</v>
      </c>
      <c r="H25" s="104">
        <f t="shared" si="8"/>
        <v>1200</v>
      </c>
      <c r="I25" s="104">
        <f t="shared" si="8"/>
        <v>17700</v>
      </c>
      <c r="J25" s="104">
        <f t="shared" si="8"/>
        <v>3418.4304000000011</v>
      </c>
      <c r="K25" s="104">
        <f t="shared" si="8"/>
        <v>1033.9308000000001</v>
      </c>
      <c r="L25" s="104">
        <f t="shared" si="8"/>
        <v>4452.3612000000012</v>
      </c>
      <c r="M25" s="104">
        <f t="shared" si="8"/>
        <v>9720</v>
      </c>
      <c r="N25" s="104">
        <f t="shared" si="8"/>
        <v>1639.3188860056871</v>
      </c>
      <c r="O25" s="104">
        <f t="shared" si="8"/>
        <v>18050.2075</v>
      </c>
      <c r="P25" s="104">
        <f>AVERAGE(P19:P24)</f>
        <v>3436.6666666666665</v>
      </c>
      <c r="Q25" s="104">
        <f>AVERAGE(Q19:Q24)</f>
        <v>577.5</v>
      </c>
    </row>
    <row r="26" spans="1:29" ht="12.75" customHeight="1" x14ac:dyDescent="0.45">
      <c r="B26" s="132" t="s">
        <v>89</v>
      </c>
      <c r="C26" s="111" t="s">
        <v>144</v>
      </c>
      <c r="D26" s="111" t="s">
        <v>145</v>
      </c>
      <c r="E26" s="132" t="s">
        <v>148</v>
      </c>
      <c r="F26" s="132" t="s">
        <v>147</v>
      </c>
      <c r="G26" s="134" t="s">
        <v>97</v>
      </c>
      <c r="H26" s="135"/>
      <c r="I26" s="132" t="s">
        <v>107</v>
      </c>
      <c r="J26" s="134" t="s">
        <v>98</v>
      </c>
      <c r="K26" s="135"/>
      <c r="L26" s="132" t="s">
        <v>107</v>
      </c>
      <c r="M26" s="132" t="s">
        <v>99</v>
      </c>
      <c r="N26" s="132"/>
      <c r="O26" s="132" t="s">
        <v>103</v>
      </c>
      <c r="P26" s="134" t="s">
        <v>104</v>
      </c>
      <c r="Q26" s="135"/>
    </row>
    <row r="27" spans="1:29" ht="12.75" customHeight="1" x14ac:dyDescent="0.45">
      <c r="B27" s="133"/>
      <c r="C27" s="111" t="s">
        <v>88</v>
      </c>
      <c r="D27" s="111" t="s">
        <v>88</v>
      </c>
      <c r="E27" s="133"/>
      <c r="F27" s="133"/>
      <c r="G27" s="111" t="s">
        <v>87</v>
      </c>
      <c r="H27" s="111" t="s">
        <v>86</v>
      </c>
      <c r="I27" s="133"/>
      <c r="J27" s="111" t="s">
        <v>87</v>
      </c>
      <c r="K27" s="111" t="s">
        <v>86</v>
      </c>
      <c r="L27" s="133"/>
      <c r="M27" s="111" t="s">
        <v>100</v>
      </c>
      <c r="N27" s="111" t="s">
        <v>101</v>
      </c>
      <c r="O27" s="133"/>
      <c r="P27" s="111" t="s">
        <v>105</v>
      </c>
      <c r="Q27" s="111" t="s">
        <v>102</v>
      </c>
    </row>
    <row r="28" spans="1:29" ht="12.75" customHeight="1" x14ac:dyDescent="0.45">
      <c r="A28" s="18" t="s">
        <v>25</v>
      </c>
      <c r="B28" s="24" t="s">
        <v>21</v>
      </c>
      <c r="C28" s="110">
        <v>260</v>
      </c>
      <c r="D28" s="110">
        <v>309</v>
      </c>
      <c r="E28" s="109">
        <f t="shared" ref="E28:E33" si="9">AVERAGE(C28:D28)</f>
        <v>284.5</v>
      </c>
      <c r="F28" s="109">
        <f t="shared" ref="F28:F33" si="10">(E28^0.75)</f>
        <v>69.272634259364537</v>
      </c>
      <c r="G28" s="107">
        <v>16000</v>
      </c>
      <c r="H28" s="107">
        <v>1200</v>
      </c>
      <c r="I28" s="108">
        <f t="shared" ref="I28:I33" si="11">G28+H28</f>
        <v>17200</v>
      </c>
      <c r="J28" s="108">
        <f t="shared" ref="J28:J33" si="12">(G28*(100-$D$47)/100)*((100-$E$47)/100)</f>
        <v>3336.3552000000004</v>
      </c>
      <c r="K28" s="108">
        <f t="shared" ref="K28:K33" si="13">(H28*(100-$D$41)/100)*((100-$E$41)/100)</f>
        <v>1033.9308000000001</v>
      </c>
      <c r="L28" s="108">
        <f t="shared" ref="L28:L33" si="14">J28+K28</f>
        <v>4370.2860000000001</v>
      </c>
      <c r="M28" s="107">
        <v>13420</v>
      </c>
      <c r="N28" s="108">
        <f t="shared" ref="N28:N33" si="15">(M28*(Q28/P28))</f>
        <v>1967.7004219409284</v>
      </c>
      <c r="O28" s="107">
        <v>18277.5</v>
      </c>
      <c r="P28" s="107">
        <v>4740</v>
      </c>
      <c r="Q28" s="107">
        <v>695</v>
      </c>
    </row>
    <row r="29" spans="1:29" ht="12.75" customHeight="1" x14ac:dyDescent="0.45">
      <c r="A29" s="18" t="s">
        <v>24</v>
      </c>
      <c r="B29" s="24" t="s">
        <v>19</v>
      </c>
      <c r="C29" s="110">
        <v>242</v>
      </c>
      <c r="D29" s="110">
        <v>295</v>
      </c>
      <c r="E29" s="109">
        <f t="shared" si="9"/>
        <v>268.5</v>
      </c>
      <c r="F29" s="109">
        <f t="shared" si="10"/>
        <v>66.329728175190837</v>
      </c>
      <c r="G29" s="107">
        <v>16000</v>
      </c>
      <c r="H29" s="107">
        <v>1200</v>
      </c>
      <c r="I29" s="108">
        <f t="shared" si="11"/>
        <v>17200</v>
      </c>
      <c r="J29" s="108">
        <f t="shared" si="12"/>
        <v>3336.3552000000004</v>
      </c>
      <c r="K29" s="108">
        <f t="shared" si="13"/>
        <v>1033.9308000000001</v>
      </c>
      <c r="L29" s="108">
        <f t="shared" si="14"/>
        <v>4370.2860000000001</v>
      </c>
      <c r="M29" s="107">
        <v>10580</v>
      </c>
      <c r="N29" s="108">
        <f t="shared" si="15"/>
        <v>1667.6485788113694</v>
      </c>
      <c r="O29" s="107">
        <v>22470</v>
      </c>
      <c r="P29" s="107">
        <v>1935</v>
      </c>
      <c r="Q29" s="107">
        <v>305</v>
      </c>
    </row>
    <row r="30" spans="1:29" ht="12.75" customHeight="1" x14ac:dyDescent="0.45">
      <c r="A30" s="18" t="s">
        <v>23</v>
      </c>
      <c r="B30" s="24" t="s">
        <v>17</v>
      </c>
      <c r="C30" s="110">
        <v>253</v>
      </c>
      <c r="D30" s="110">
        <v>291</v>
      </c>
      <c r="E30" s="109">
        <f t="shared" si="9"/>
        <v>272</v>
      </c>
      <c r="F30" s="109">
        <f t="shared" si="10"/>
        <v>66.977152228741559</v>
      </c>
      <c r="G30" s="107">
        <v>16000</v>
      </c>
      <c r="H30" s="107">
        <v>1200</v>
      </c>
      <c r="I30" s="108">
        <f t="shared" si="11"/>
        <v>17200</v>
      </c>
      <c r="J30" s="108">
        <f t="shared" si="12"/>
        <v>3336.3552000000004</v>
      </c>
      <c r="K30" s="108">
        <f t="shared" si="13"/>
        <v>1033.9308000000001</v>
      </c>
      <c r="L30" s="108">
        <f t="shared" si="14"/>
        <v>4370.2860000000001</v>
      </c>
      <c r="M30" s="107">
        <v>9100</v>
      </c>
      <c r="N30" s="108">
        <f t="shared" si="15"/>
        <v>1394.8905109489051</v>
      </c>
      <c r="O30" s="107">
        <v>12490</v>
      </c>
      <c r="P30" s="107">
        <v>2740</v>
      </c>
      <c r="Q30" s="107">
        <v>420</v>
      </c>
    </row>
    <row r="31" spans="1:29" ht="12.75" customHeight="1" x14ac:dyDescent="0.45">
      <c r="A31" s="18" t="s">
        <v>22</v>
      </c>
      <c r="B31" s="24" t="s">
        <v>21</v>
      </c>
      <c r="C31" s="110">
        <v>371</v>
      </c>
      <c r="D31" s="110">
        <v>419</v>
      </c>
      <c r="E31" s="109">
        <f t="shared" si="9"/>
        <v>395</v>
      </c>
      <c r="F31" s="109">
        <f t="shared" si="10"/>
        <v>88.602876540036547</v>
      </c>
      <c r="G31" s="107">
        <v>18000</v>
      </c>
      <c r="H31" s="107">
        <v>1200</v>
      </c>
      <c r="I31" s="108">
        <f t="shared" si="11"/>
        <v>19200</v>
      </c>
      <c r="J31" s="108">
        <f t="shared" si="12"/>
        <v>3753.3996000000002</v>
      </c>
      <c r="K31" s="108">
        <f t="shared" si="13"/>
        <v>1033.9308000000001</v>
      </c>
      <c r="L31" s="108">
        <f t="shared" si="14"/>
        <v>4787.3304000000007</v>
      </c>
      <c r="M31" s="107">
        <v>13195</v>
      </c>
      <c r="N31" s="108">
        <f t="shared" si="15"/>
        <v>1998.8331627430912</v>
      </c>
      <c r="O31" s="107">
        <v>25802.5</v>
      </c>
      <c r="P31" s="107">
        <v>4885</v>
      </c>
      <c r="Q31" s="107">
        <v>740</v>
      </c>
    </row>
    <row r="32" spans="1:29" ht="12.75" customHeight="1" x14ac:dyDescent="0.45">
      <c r="A32" s="18" t="s">
        <v>20</v>
      </c>
      <c r="B32" s="24" t="s">
        <v>19</v>
      </c>
      <c r="C32" s="110">
        <v>335</v>
      </c>
      <c r="D32" s="110">
        <v>370</v>
      </c>
      <c r="E32" s="109">
        <f t="shared" si="9"/>
        <v>352.5</v>
      </c>
      <c r="F32" s="109">
        <f t="shared" si="10"/>
        <v>81.352207301463594</v>
      </c>
      <c r="G32" s="107">
        <v>18000</v>
      </c>
      <c r="H32" s="107">
        <v>1200</v>
      </c>
      <c r="I32" s="108">
        <f t="shared" si="11"/>
        <v>19200</v>
      </c>
      <c r="J32" s="108">
        <f t="shared" si="12"/>
        <v>3753.3996000000002</v>
      </c>
      <c r="K32" s="108">
        <f t="shared" si="13"/>
        <v>1033.9308000000001</v>
      </c>
      <c r="L32" s="108">
        <f t="shared" si="14"/>
        <v>4787.3304000000007</v>
      </c>
      <c r="M32" s="107">
        <v>8633.2999999999993</v>
      </c>
      <c r="N32" s="108">
        <f t="shared" si="15"/>
        <v>1672.701875</v>
      </c>
      <c r="O32" s="107">
        <v>8041.6670000000004</v>
      </c>
      <c r="P32" s="107">
        <v>1600</v>
      </c>
      <c r="Q32" s="107">
        <v>310</v>
      </c>
    </row>
    <row r="33" spans="1:20" ht="12.75" customHeight="1" x14ac:dyDescent="0.45">
      <c r="A33" s="18" t="s">
        <v>18</v>
      </c>
      <c r="B33" s="24" t="s">
        <v>17</v>
      </c>
      <c r="C33" s="110">
        <v>307</v>
      </c>
      <c r="D33" s="110">
        <v>357</v>
      </c>
      <c r="E33" s="109">
        <f t="shared" si="9"/>
        <v>332</v>
      </c>
      <c r="F33" s="109">
        <f t="shared" si="10"/>
        <v>77.777425365923591</v>
      </c>
      <c r="G33" s="107">
        <v>18000</v>
      </c>
      <c r="H33" s="107">
        <v>1200</v>
      </c>
      <c r="I33" s="108">
        <f t="shared" si="11"/>
        <v>19200</v>
      </c>
      <c r="J33" s="108">
        <f t="shared" si="12"/>
        <v>3753.3996000000002</v>
      </c>
      <c r="K33" s="108">
        <f t="shared" si="13"/>
        <v>1033.9308000000001</v>
      </c>
      <c r="L33" s="108">
        <f t="shared" si="14"/>
        <v>4787.3304000000007</v>
      </c>
      <c r="M33" s="107">
        <v>10555</v>
      </c>
      <c r="N33" s="108">
        <f t="shared" si="15"/>
        <v>679.25590749120158</v>
      </c>
      <c r="O33" s="107">
        <v>9637.5</v>
      </c>
      <c r="P33" s="107">
        <v>9945</v>
      </c>
      <c r="Q33" s="107">
        <v>640</v>
      </c>
    </row>
    <row r="34" spans="1:20" ht="12.75" customHeight="1" x14ac:dyDescent="0.45">
      <c r="B34" s="106" t="s">
        <v>120</v>
      </c>
      <c r="C34" s="105">
        <f>AVERAGE(C28:C33)</f>
        <v>294.66666666666669</v>
      </c>
      <c r="D34" s="105">
        <f>AVERAGE(D28:D33)</f>
        <v>340.16666666666669</v>
      </c>
      <c r="E34" s="105">
        <f>AVERAGE(E28:E33)</f>
        <v>317.41666666666669</v>
      </c>
      <c r="F34" s="105">
        <f>AVERAGE(F28:F33)</f>
        <v>75.052003978453442</v>
      </c>
      <c r="G34" s="104">
        <f t="shared" ref="G34:Q34" si="16">AVERAGE(G28:G31)</f>
        <v>16500</v>
      </c>
      <c r="H34" s="104">
        <f t="shared" si="16"/>
        <v>1200</v>
      </c>
      <c r="I34" s="104">
        <f t="shared" si="16"/>
        <v>17700</v>
      </c>
      <c r="J34" s="104">
        <f t="shared" si="16"/>
        <v>3440.6163000000006</v>
      </c>
      <c r="K34" s="104">
        <f t="shared" si="16"/>
        <v>1033.9308000000001</v>
      </c>
      <c r="L34" s="104">
        <f t="shared" si="16"/>
        <v>4474.5470999999998</v>
      </c>
      <c r="M34" s="104">
        <f t="shared" si="16"/>
        <v>11573.75</v>
      </c>
      <c r="N34" s="104">
        <f t="shared" si="16"/>
        <v>1757.2681686110736</v>
      </c>
      <c r="O34" s="104">
        <f t="shared" si="16"/>
        <v>19760</v>
      </c>
      <c r="P34" s="104">
        <f t="shared" si="16"/>
        <v>3575</v>
      </c>
      <c r="Q34" s="104">
        <f t="shared" si="16"/>
        <v>540</v>
      </c>
    </row>
    <row r="35" spans="1:20" ht="12.75" customHeight="1" x14ac:dyDescent="0.45">
      <c r="B35" s="103"/>
      <c r="C35" s="102"/>
      <c r="D35" s="102"/>
      <c r="E35" s="102"/>
      <c r="F35" s="102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</row>
    <row r="36" spans="1:20" ht="12.75" customHeight="1" x14ac:dyDescent="0.45">
      <c r="B36" s="103"/>
      <c r="C36" s="102"/>
      <c r="D36" s="102"/>
      <c r="E36" s="102"/>
      <c r="F36" s="102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</row>
    <row r="37" spans="1:20" ht="12.75" customHeight="1" x14ac:dyDescent="0.45">
      <c r="B37" s="103"/>
      <c r="C37" s="102"/>
      <c r="D37" s="102"/>
      <c r="E37" s="102"/>
      <c r="F37" s="102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</row>
    <row r="38" spans="1:20" ht="12.75" customHeight="1" x14ac:dyDescent="0.45">
      <c r="M38" s="19"/>
      <c r="N38" s="19"/>
      <c r="O38" s="19"/>
      <c r="P38" s="19"/>
      <c r="Q38" s="19"/>
      <c r="R38" s="19"/>
      <c r="S38" s="19"/>
    </row>
    <row r="39" spans="1:20" ht="12.75" customHeight="1" x14ac:dyDescent="0.45">
      <c r="B39" s="137" t="s">
        <v>106</v>
      </c>
      <c r="C39" s="138"/>
      <c r="D39" s="50"/>
      <c r="E39" s="77"/>
      <c r="F39" s="77"/>
      <c r="G39" s="77"/>
      <c r="H39" s="77"/>
      <c r="I39" s="77"/>
      <c r="J39" s="77"/>
      <c r="K39" s="77"/>
      <c r="L39" s="77"/>
      <c r="M39" s="77"/>
    </row>
    <row r="40" spans="1:20" ht="12.75" customHeight="1" x14ac:dyDescent="0.45">
      <c r="B40" s="83" t="s">
        <v>149</v>
      </c>
      <c r="C40" s="83"/>
      <c r="D40" s="83" t="s">
        <v>113</v>
      </c>
      <c r="E40" s="83" t="s">
        <v>114</v>
      </c>
      <c r="F40" s="83" t="s">
        <v>112</v>
      </c>
      <c r="G40" s="83" t="s">
        <v>108</v>
      </c>
      <c r="H40" s="83" t="s">
        <v>109</v>
      </c>
      <c r="I40" s="83" t="s">
        <v>110</v>
      </c>
      <c r="J40" s="83" t="s">
        <v>72</v>
      </c>
      <c r="K40" s="83" t="s">
        <v>71</v>
      </c>
      <c r="L40" s="83" t="s">
        <v>70</v>
      </c>
      <c r="M40" s="83" t="s">
        <v>77</v>
      </c>
      <c r="N40" s="83" t="s">
        <v>85</v>
      </c>
      <c r="O40" s="31" t="s">
        <v>68</v>
      </c>
      <c r="P40" s="83" t="s">
        <v>67</v>
      </c>
    </row>
    <row r="41" spans="1:20" ht="12.75" customHeight="1" x14ac:dyDescent="0.45">
      <c r="B41" s="139" t="s">
        <v>84</v>
      </c>
      <c r="C41" s="96"/>
      <c r="D41" s="96">
        <v>11</v>
      </c>
      <c r="E41" s="100">
        <v>3.19</v>
      </c>
      <c r="F41" s="100">
        <v>16.16</v>
      </c>
      <c r="G41" s="100">
        <v>4.84</v>
      </c>
      <c r="H41" s="100">
        <v>3.96</v>
      </c>
      <c r="I41" s="100">
        <v>6.71</v>
      </c>
      <c r="J41" s="98">
        <f t="shared" ref="J41:J48" si="17">100-(F41+G41+H41+I41)</f>
        <v>68.33</v>
      </c>
      <c r="K41" s="99">
        <v>27.37</v>
      </c>
      <c r="L41" s="99"/>
      <c r="M41" s="99">
        <v>4228</v>
      </c>
      <c r="N41" s="96"/>
      <c r="O41" s="98"/>
      <c r="P41" s="96"/>
    </row>
    <row r="42" spans="1:20" ht="12.75" customHeight="1" x14ac:dyDescent="0.45">
      <c r="B42" s="140"/>
      <c r="C42" s="97" t="s">
        <v>117</v>
      </c>
      <c r="D42" s="97"/>
      <c r="E42" s="97"/>
      <c r="F42" s="97">
        <f>(F41/((100-$E$41)/100))</f>
        <v>16.69249044520194</v>
      </c>
      <c r="G42" s="97">
        <f>(G41/((100-$E$41)/100))</f>
        <v>4.9994835244292943</v>
      </c>
      <c r="H42" s="97">
        <f>(H41/((100-$E$41)/100))</f>
        <v>4.0904865199876044</v>
      </c>
      <c r="I42" s="97">
        <f>(I41/((100-$E$41)/100))</f>
        <v>6.9311021588678852</v>
      </c>
      <c r="J42" s="98">
        <f t="shared" si="17"/>
        <v>67.286437351513285</v>
      </c>
      <c r="K42" s="97">
        <f>(K41/((100-$E$41)/100))</f>
        <v>28.271872740419376</v>
      </c>
      <c r="L42" s="97"/>
      <c r="M42" s="95">
        <f>(M41/((100-$E$41)/100))</f>
        <v>4367.3174258857553</v>
      </c>
      <c r="N42" s="96"/>
      <c r="O42" s="95"/>
      <c r="P42" s="95"/>
    </row>
    <row r="43" spans="1:20" s="19" customFormat="1" ht="12.75" customHeight="1" x14ac:dyDescent="0.45">
      <c r="B43" s="136" t="s">
        <v>83</v>
      </c>
      <c r="C43" s="92"/>
      <c r="D43" s="92">
        <f>100-22.4</f>
        <v>77.599999999999994</v>
      </c>
      <c r="E43" s="94">
        <v>6.7</v>
      </c>
      <c r="F43" s="94">
        <v>9.67</v>
      </c>
      <c r="G43" s="94">
        <v>4.18</v>
      </c>
      <c r="H43" s="94">
        <v>32.08</v>
      </c>
      <c r="I43" s="94">
        <v>6.88</v>
      </c>
      <c r="J43" s="92">
        <f t="shared" si="17"/>
        <v>47.19</v>
      </c>
      <c r="K43" s="92">
        <v>59.15</v>
      </c>
      <c r="L43" s="92"/>
      <c r="M43" s="93">
        <v>4138</v>
      </c>
      <c r="N43" s="92"/>
      <c r="O43" s="82"/>
      <c r="P43" s="92"/>
      <c r="Q43" s="18"/>
      <c r="R43" s="18"/>
      <c r="S43" s="18"/>
      <c r="T43" s="18"/>
    </row>
    <row r="44" spans="1:20" s="19" customFormat="1" ht="12.75" customHeight="1" x14ac:dyDescent="0.45">
      <c r="B44" s="136"/>
      <c r="C44" s="91" t="s">
        <v>117</v>
      </c>
      <c r="D44" s="91"/>
      <c r="E44" s="91"/>
      <c r="F44" s="91">
        <f>(F43/((100-$E$43)/100))</f>
        <v>10.364415862808146</v>
      </c>
      <c r="G44" s="91">
        <f>(G43/((100-$E$43)/100))</f>
        <v>4.480171489817792</v>
      </c>
      <c r="H44" s="91">
        <f>(H43/((100-$E$43)/100))</f>
        <v>34.383708467309752</v>
      </c>
      <c r="I44" s="91">
        <f>(I43/((100-$E$43)/100))</f>
        <v>7.37406216505895</v>
      </c>
      <c r="J44" s="92">
        <f t="shared" si="17"/>
        <v>43.39764201500536</v>
      </c>
      <c r="K44" s="91">
        <f>(K43/((100-$E$43)/100))</f>
        <v>63.39764201500536</v>
      </c>
      <c r="L44" s="91"/>
      <c r="M44" s="90">
        <f>(M43/((100-$E$43)/100))</f>
        <v>4435.1554126473748</v>
      </c>
      <c r="N44" s="91"/>
      <c r="O44" s="90"/>
      <c r="P44" s="90"/>
      <c r="Q44" s="18"/>
      <c r="R44" s="18"/>
      <c r="S44" s="18"/>
      <c r="T44" s="18"/>
    </row>
    <row r="45" spans="1:20" s="19" customFormat="1" ht="12.75" customHeight="1" x14ac:dyDescent="0.45">
      <c r="B45" s="143" t="s">
        <v>82</v>
      </c>
      <c r="C45" s="81"/>
      <c r="D45" s="81">
        <f>100-22.4</f>
        <v>77.599999999999994</v>
      </c>
      <c r="E45" s="89">
        <v>7.51</v>
      </c>
      <c r="F45" s="89">
        <v>11.31</v>
      </c>
      <c r="G45" s="89">
        <v>4.74</v>
      </c>
      <c r="H45" s="89">
        <v>29.76</v>
      </c>
      <c r="I45" s="89">
        <v>7.01</v>
      </c>
      <c r="J45" s="81">
        <f t="shared" si="17"/>
        <v>47.18</v>
      </c>
      <c r="K45" s="81">
        <v>55.22</v>
      </c>
      <c r="L45" s="81"/>
      <c r="M45" s="88">
        <v>4170</v>
      </c>
      <c r="N45" s="81"/>
      <c r="O45" s="87"/>
      <c r="P45" s="81"/>
      <c r="Q45" s="18"/>
      <c r="R45" s="18"/>
      <c r="S45" s="18"/>
      <c r="T45" s="18"/>
    </row>
    <row r="46" spans="1:20" s="19" customFormat="1" ht="12.75" customHeight="1" x14ac:dyDescent="0.45">
      <c r="B46" s="144"/>
      <c r="C46" s="86" t="s">
        <v>117</v>
      </c>
      <c r="D46" s="86"/>
      <c r="E46" s="86"/>
      <c r="F46" s="86">
        <f>(F45/((100-$E$45)/100))</f>
        <v>12.228349010703861</v>
      </c>
      <c r="G46" s="86">
        <f>(G45/((100-$E$45)/100))</f>
        <v>5.1248783652286738</v>
      </c>
      <c r="H46" s="86">
        <f>(H45/((100-$E$45)/100))</f>
        <v>32.176451508271171</v>
      </c>
      <c r="I46" s="86">
        <f>(I45/((100-$E$45)/100))</f>
        <v>7.5791977511082278</v>
      </c>
      <c r="J46" s="81">
        <f t="shared" si="17"/>
        <v>42.89112336468807</v>
      </c>
      <c r="K46" s="86">
        <f>(K45/((100-$E$45)/100))</f>
        <v>59.703751756946701</v>
      </c>
      <c r="L46" s="86"/>
      <c r="M46" s="85">
        <f>(M45/((100-$E$45)/100))</f>
        <v>4508.5955238404158</v>
      </c>
      <c r="N46" s="86"/>
      <c r="O46" s="85"/>
      <c r="P46" s="85"/>
      <c r="Q46" s="18"/>
      <c r="R46" s="18"/>
      <c r="S46" s="18"/>
      <c r="T46" s="18"/>
    </row>
    <row r="47" spans="1:20" s="19" customFormat="1" ht="12.75" customHeight="1" x14ac:dyDescent="0.45">
      <c r="B47" s="143" t="s">
        <v>81</v>
      </c>
      <c r="C47" s="81"/>
      <c r="D47" s="81">
        <f>100-22.7</f>
        <v>77.3</v>
      </c>
      <c r="E47" s="89">
        <v>8.14</v>
      </c>
      <c r="F47" s="89">
        <v>10.95</v>
      </c>
      <c r="G47" s="89">
        <v>4.37</v>
      </c>
      <c r="H47" s="89">
        <v>30.43</v>
      </c>
      <c r="I47" s="89">
        <v>6.4</v>
      </c>
      <c r="J47" s="81">
        <f t="shared" si="17"/>
        <v>47.85</v>
      </c>
      <c r="K47" s="81">
        <v>55.38</v>
      </c>
      <c r="L47" s="81"/>
      <c r="M47" s="88">
        <v>4224</v>
      </c>
      <c r="N47" s="81"/>
      <c r="O47" s="87"/>
      <c r="P47" s="81"/>
      <c r="Q47" s="18"/>
      <c r="R47" s="18"/>
      <c r="S47" s="18"/>
      <c r="T47" s="18"/>
    </row>
    <row r="48" spans="1:20" s="19" customFormat="1" ht="12.75" customHeight="1" x14ac:dyDescent="0.45">
      <c r="B48" s="144"/>
      <c r="C48" s="86" t="s">
        <v>117</v>
      </c>
      <c r="D48" s="86"/>
      <c r="E48" s="86"/>
      <c r="F48" s="86">
        <f>(F47/((100-$E$47)/100))</f>
        <v>11.920313520574787</v>
      </c>
      <c r="G48" s="86">
        <f>(G47/((100-$E$47)/100))</f>
        <v>4.7572392771608971</v>
      </c>
      <c r="H48" s="86">
        <f>(H47/((100-$E$47)/100))</f>
        <v>33.126496843021989</v>
      </c>
      <c r="I48" s="86">
        <f>(I47/((100-$E$47)/100))</f>
        <v>6.9671238841715661</v>
      </c>
      <c r="J48" s="81">
        <f t="shared" si="17"/>
        <v>43.228826475070761</v>
      </c>
      <c r="K48" s="86">
        <f>(K47/((100-$E$47)/100))</f>
        <v>60.287393860222082</v>
      </c>
      <c r="L48" s="86"/>
      <c r="M48" s="85">
        <f>(M47/((100-$E$47)/100))</f>
        <v>4598.3017635532333</v>
      </c>
      <c r="N48" s="86"/>
      <c r="O48" s="85"/>
      <c r="P48" s="85"/>
      <c r="Q48" s="18"/>
      <c r="R48" s="18"/>
      <c r="S48" s="18"/>
      <c r="T48" s="18"/>
    </row>
    <row r="49" spans="1:20" s="19" customFormat="1" ht="12.75" customHeight="1" x14ac:dyDescent="0.45">
      <c r="B49" s="18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18"/>
      <c r="R49" s="18"/>
      <c r="S49" s="18"/>
      <c r="T49" s="18"/>
    </row>
    <row r="50" spans="1:20" s="19" customFormat="1" ht="12.75" customHeight="1" x14ac:dyDescent="0.45">
      <c r="B50" s="84" t="s">
        <v>111</v>
      </c>
      <c r="C50" s="83" t="s">
        <v>113</v>
      </c>
      <c r="D50" s="83" t="s">
        <v>114</v>
      </c>
      <c r="E50" s="83" t="s">
        <v>112</v>
      </c>
      <c r="F50" s="83" t="s">
        <v>108</v>
      </c>
      <c r="G50" s="83" t="s">
        <v>109</v>
      </c>
      <c r="H50" s="83" t="s">
        <v>110</v>
      </c>
      <c r="I50" s="83" t="s">
        <v>72</v>
      </c>
      <c r="J50" s="83" t="s">
        <v>71</v>
      </c>
      <c r="K50" s="83" t="s">
        <v>70</v>
      </c>
      <c r="L50" s="83" t="s">
        <v>77</v>
      </c>
      <c r="M50" s="18"/>
      <c r="N50" s="18"/>
      <c r="O50" s="18"/>
      <c r="P50" s="18"/>
      <c r="Q50" s="18"/>
      <c r="R50" s="18"/>
      <c r="S50" s="18"/>
      <c r="T50" s="18"/>
    </row>
    <row r="51" spans="1:20" s="19" customFormat="1" ht="12.75" customHeight="1" x14ac:dyDescent="0.45">
      <c r="B51" s="136" t="s">
        <v>83</v>
      </c>
      <c r="C51" s="79">
        <v>65.42</v>
      </c>
      <c r="D51" s="79">
        <v>7.11</v>
      </c>
      <c r="E51" s="79">
        <v>9.93</v>
      </c>
      <c r="F51" s="79">
        <v>3.88</v>
      </c>
      <c r="G51" s="79">
        <v>26.09</v>
      </c>
      <c r="H51" s="79">
        <v>7.56</v>
      </c>
      <c r="I51" s="80">
        <f t="shared" ref="I51:I56" si="18">100-(E51+F51+G51+H51)</f>
        <v>52.54</v>
      </c>
      <c r="J51" s="79">
        <v>50.47</v>
      </c>
      <c r="K51" s="79">
        <v>0</v>
      </c>
      <c r="L51" s="79">
        <v>4139</v>
      </c>
      <c r="M51" s="18"/>
      <c r="N51" s="18"/>
      <c r="O51" s="18"/>
      <c r="P51" s="18"/>
      <c r="Q51" s="18"/>
      <c r="R51" s="18"/>
      <c r="S51" s="18"/>
      <c r="T51" s="18"/>
    </row>
    <row r="52" spans="1:20" s="19" customFormat="1" ht="12.75" customHeight="1" x14ac:dyDescent="0.45">
      <c r="B52" s="136"/>
      <c r="C52" s="78"/>
      <c r="D52" s="78"/>
      <c r="E52" s="78">
        <f>(E51/((100-$D$51)/100))</f>
        <v>10.690063515986649</v>
      </c>
      <c r="F52" s="78">
        <f>(F51/((100-$D$51)/100))</f>
        <v>4.176983528905156</v>
      </c>
      <c r="G52" s="78">
        <f>(G51/((100-$D$51)/100))</f>
        <v>28.086984605447302</v>
      </c>
      <c r="H52" s="78">
        <f>(H51/((100-$D$51)/100))</f>
        <v>8.1386586284853042</v>
      </c>
      <c r="I52" s="78">
        <f t="shared" si="18"/>
        <v>48.907309721175594</v>
      </c>
      <c r="J52" s="78">
        <f>(J51/((100-$D$51)/100))</f>
        <v>54.333082140165786</v>
      </c>
      <c r="K52" s="78">
        <f>(K51/((100-$D$51)/100))</f>
        <v>0</v>
      </c>
      <c r="L52" s="78">
        <f>(L51/((100-$D$51)/100))</f>
        <v>4455.8079448810422</v>
      </c>
      <c r="M52" s="18"/>
      <c r="N52" s="18"/>
      <c r="O52" s="18"/>
      <c r="P52" s="18"/>
      <c r="Q52" s="18"/>
      <c r="R52" s="18"/>
      <c r="S52" s="18"/>
    </row>
    <row r="53" spans="1:20" s="19" customFormat="1" ht="12.75" customHeight="1" x14ac:dyDescent="0.45">
      <c r="B53" s="143" t="s">
        <v>82</v>
      </c>
      <c r="C53" s="79">
        <v>70.489999999999995</v>
      </c>
      <c r="D53" s="79">
        <v>6.32</v>
      </c>
      <c r="E53" s="79">
        <v>7.73</v>
      </c>
      <c r="F53" s="79">
        <v>2.96</v>
      </c>
      <c r="G53" s="79">
        <v>32.1</v>
      </c>
      <c r="H53" s="79">
        <v>6.77</v>
      </c>
      <c r="I53" s="80">
        <f t="shared" si="18"/>
        <v>50.44</v>
      </c>
      <c r="J53" s="79">
        <v>59.25</v>
      </c>
      <c r="K53" s="79">
        <v>0</v>
      </c>
      <c r="L53" s="79">
        <v>4172</v>
      </c>
      <c r="M53" s="18"/>
      <c r="N53" s="18"/>
      <c r="O53" s="18"/>
      <c r="P53" s="18"/>
      <c r="Q53" s="18"/>
      <c r="R53" s="18"/>
      <c r="S53" s="18"/>
    </row>
    <row r="54" spans="1:20" s="19" customFormat="1" ht="12.75" customHeight="1" x14ac:dyDescent="0.45">
      <c r="B54" s="144"/>
      <c r="C54" s="78"/>
      <c r="D54" s="78"/>
      <c r="E54" s="78">
        <f>(E53/((100-$D$53)/100))</f>
        <v>8.2514944491887281</v>
      </c>
      <c r="F54" s="78">
        <f>(F53/((100-$D$53)/100))</f>
        <v>3.1596925704526044</v>
      </c>
      <c r="G54" s="78">
        <f>(G53/((100-$D$53)/100))</f>
        <v>34.265584970111014</v>
      </c>
      <c r="H54" s="78">
        <f>(H53/((100-$D$53)/100))</f>
        <v>7.2267292912040979</v>
      </c>
      <c r="I54" s="78">
        <f t="shared" si="18"/>
        <v>47.096498719043552</v>
      </c>
      <c r="J54" s="78">
        <f>(J53/((100-$D$53)/100))</f>
        <v>63.247224594363786</v>
      </c>
      <c r="K54" s="78">
        <f>(K53/((100-$D$53)/100))</f>
        <v>0</v>
      </c>
      <c r="L54" s="78">
        <f>(L53/((100-$D$53)/100))</f>
        <v>4453.4585824081978</v>
      </c>
      <c r="M54" s="18"/>
      <c r="N54" s="18"/>
      <c r="O54" s="18"/>
      <c r="P54" s="18"/>
      <c r="Q54" s="18"/>
      <c r="R54" s="18"/>
      <c r="S54" s="18"/>
    </row>
    <row r="55" spans="1:20" s="19" customFormat="1" ht="12.75" customHeight="1" x14ac:dyDescent="0.45">
      <c r="B55" s="143" t="s">
        <v>81</v>
      </c>
      <c r="C55" s="79">
        <v>69.099999999999994</v>
      </c>
      <c r="D55" s="79">
        <v>7.76</v>
      </c>
      <c r="E55" s="79">
        <v>10.55</v>
      </c>
      <c r="F55" s="79">
        <v>7.18</v>
      </c>
      <c r="G55" s="79">
        <v>30.04</v>
      </c>
      <c r="H55" s="79">
        <v>7.11</v>
      </c>
      <c r="I55" s="80">
        <f t="shared" si="18"/>
        <v>45.120000000000005</v>
      </c>
      <c r="J55" s="79">
        <v>55.52</v>
      </c>
      <c r="K55" s="79">
        <v>0</v>
      </c>
      <c r="L55" s="79">
        <v>4141</v>
      </c>
      <c r="M55" s="18"/>
      <c r="N55" s="18"/>
      <c r="O55" s="18"/>
      <c r="P55" s="18"/>
      <c r="Q55" s="18"/>
      <c r="R55" s="18"/>
      <c r="S55" s="18"/>
    </row>
    <row r="56" spans="1:20" s="19" customFormat="1" ht="12.75" customHeight="1" x14ac:dyDescent="0.45">
      <c r="B56" s="144"/>
      <c r="C56" s="78"/>
      <c r="D56" s="78"/>
      <c r="E56" s="78">
        <f>(E55/((100-$D55)/100))</f>
        <v>11.43755420641804</v>
      </c>
      <c r="F56" s="78">
        <f>(F55/((100-$D55)/100))</f>
        <v>7.7840416305290541</v>
      </c>
      <c r="G56" s="78">
        <f>(G55/((100-$D55)/100))</f>
        <v>32.567215958369474</v>
      </c>
      <c r="H56" s="78">
        <f>(H55/((100-$D55)/100))</f>
        <v>7.7081526452732003</v>
      </c>
      <c r="I56" s="78">
        <f t="shared" si="18"/>
        <v>40.503035559410229</v>
      </c>
      <c r="J56" s="78">
        <f>(J55/((100-$D55)/100))</f>
        <v>60.19080659150044</v>
      </c>
      <c r="K56" s="78">
        <f>(K55/((100-$D55)/100))</f>
        <v>0</v>
      </c>
      <c r="L56" s="78">
        <f>(L55/((100-$D55)/100))</f>
        <v>4489.3755420641801</v>
      </c>
      <c r="M56" s="18"/>
      <c r="N56" s="18"/>
      <c r="O56" s="18"/>
      <c r="P56" s="18"/>
      <c r="Q56" s="18"/>
      <c r="R56" s="18"/>
      <c r="S56" s="18"/>
    </row>
    <row r="57" spans="1:20" s="19" customFormat="1" ht="12.75" customHeight="1" x14ac:dyDescent="0.45">
      <c r="B57" s="18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P57" s="18"/>
      <c r="T57" s="73"/>
    </row>
    <row r="58" spans="1:20" s="19" customFormat="1" ht="12.75" customHeight="1" x14ac:dyDescent="0.45">
      <c r="B58" s="153" t="s">
        <v>116</v>
      </c>
      <c r="C58" s="154"/>
      <c r="D58" s="76"/>
      <c r="T58" s="73"/>
    </row>
    <row r="59" spans="1:20" s="19" customFormat="1" ht="12.75" customHeight="1" x14ac:dyDescent="0.45">
      <c r="B59" s="152" t="s">
        <v>60</v>
      </c>
      <c r="C59" s="145" t="s">
        <v>115</v>
      </c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9"/>
      <c r="O59" s="145" t="s">
        <v>121</v>
      </c>
      <c r="P59" s="146"/>
      <c r="Q59" s="147"/>
      <c r="S59" s="73"/>
    </row>
    <row r="60" spans="1:20" s="19" customFormat="1" ht="12.75" customHeight="1" x14ac:dyDescent="0.45">
      <c r="B60" s="152"/>
      <c r="C60" s="83" t="s">
        <v>113</v>
      </c>
      <c r="D60" s="83" t="s">
        <v>114</v>
      </c>
      <c r="E60" s="83" t="s">
        <v>112</v>
      </c>
      <c r="F60" s="83" t="s">
        <v>108</v>
      </c>
      <c r="G60" s="83" t="s">
        <v>109</v>
      </c>
      <c r="H60" s="83" t="s">
        <v>110</v>
      </c>
      <c r="I60" s="31" t="s">
        <v>72</v>
      </c>
      <c r="J60" s="31" t="s">
        <v>71</v>
      </c>
      <c r="K60" s="31" t="s">
        <v>70</v>
      </c>
      <c r="L60" s="31" t="s">
        <v>77</v>
      </c>
      <c r="M60" s="75" t="s">
        <v>80</v>
      </c>
      <c r="N60" s="75" t="s">
        <v>79</v>
      </c>
      <c r="O60" s="31" t="s">
        <v>78</v>
      </c>
      <c r="P60" s="31" t="s">
        <v>58</v>
      </c>
      <c r="Q60" s="31" t="s">
        <v>77</v>
      </c>
      <c r="S60" s="73"/>
    </row>
    <row r="61" spans="1:20" s="19" customFormat="1" ht="12.75" customHeight="1" x14ac:dyDescent="0.45">
      <c r="A61" s="18" t="s">
        <v>23</v>
      </c>
      <c r="B61" s="58" t="s">
        <v>56</v>
      </c>
      <c r="C61" s="74">
        <v>87.442922374429216</v>
      </c>
      <c r="D61" s="21">
        <v>5.4187427260263297</v>
      </c>
      <c r="E61" s="21">
        <v>11.11</v>
      </c>
      <c r="F61" s="21">
        <v>2.74</v>
      </c>
      <c r="G61" s="21">
        <v>25.72</v>
      </c>
      <c r="H61" s="21">
        <v>11.63</v>
      </c>
      <c r="I61" s="21">
        <f>100-(E61+F61+G61+H61)</f>
        <v>48.8</v>
      </c>
      <c r="J61" s="21">
        <v>53.42</v>
      </c>
      <c r="K61" s="21"/>
      <c r="L61" s="21">
        <v>4252</v>
      </c>
      <c r="M61" s="21"/>
      <c r="N61" s="21"/>
      <c r="O61" s="21"/>
      <c r="P61" s="21">
        <v>0.49</v>
      </c>
      <c r="Q61" s="21">
        <v>216</v>
      </c>
      <c r="S61" s="73"/>
    </row>
    <row r="62" spans="1:20" s="19" customFormat="1" ht="12.75" customHeight="1" x14ac:dyDescent="0.45">
      <c r="B62" s="72" t="s">
        <v>117</v>
      </c>
      <c r="C62" s="21"/>
      <c r="D62" s="21"/>
      <c r="E62" s="21">
        <f t="shared" ref="E62:J62" si="19">(E61/((100-$D61)/100))</f>
        <v>11.746513337010995</v>
      </c>
      <c r="F62" s="21">
        <f t="shared" si="19"/>
        <v>2.8969798868956014</v>
      </c>
      <c r="G62" s="21">
        <f t="shared" si="19"/>
        <v>27.193548427355786</v>
      </c>
      <c r="H62" s="21">
        <f t="shared" si="19"/>
        <v>12.296305140363446</v>
      </c>
      <c r="I62" s="21">
        <f t="shared" si="19"/>
        <v>51.595846160768367</v>
      </c>
      <c r="J62" s="21">
        <f t="shared" si="19"/>
        <v>56.480534875168985</v>
      </c>
      <c r="K62" s="21"/>
      <c r="L62" s="21">
        <f>(L61/((100-$D$61)/100))</f>
        <v>4495.6052843358011</v>
      </c>
      <c r="M62" s="21"/>
      <c r="N62" s="21"/>
      <c r="O62" s="21"/>
      <c r="P62" s="21"/>
      <c r="Q62" s="21"/>
    </row>
    <row r="63" spans="1:20" s="19" customFormat="1" ht="12.75" customHeight="1" x14ac:dyDescent="0.45">
      <c r="A63" s="18" t="s">
        <v>25</v>
      </c>
      <c r="B63" s="58" t="s">
        <v>55</v>
      </c>
      <c r="C63" s="74">
        <v>86.004514672686227</v>
      </c>
      <c r="D63" s="21">
        <v>4.5521978021980143</v>
      </c>
      <c r="E63" s="21">
        <v>11.21</v>
      </c>
      <c r="F63" s="21">
        <v>1.83</v>
      </c>
      <c r="G63" s="21">
        <v>24.07</v>
      </c>
      <c r="H63" s="21">
        <v>4.55</v>
      </c>
      <c r="I63" s="21">
        <f>100-(E63+F63+G63+H63)</f>
        <v>58.34</v>
      </c>
      <c r="J63" s="21">
        <v>51.57</v>
      </c>
      <c r="K63" s="21"/>
      <c r="L63" s="21">
        <v>4254</v>
      </c>
      <c r="M63" s="21"/>
      <c r="N63" s="21"/>
      <c r="O63" s="21"/>
      <c r="P63" s="21">
        <v>0.27</v>
      </c>
      <c r="Q63" s="21">
        <v>137</v>
      </c>
    </row>
    <row r="64" spans="1:20" s="19" customFormat="1" ht="12.75" customHeight="1" x14ac:dyDescent="0.45">
      <c r="B64" s="72" t="s">
        <v>117</v>
      </c>
      <c r="C64" s="21"/>
      <c r="D64" s="21"/>
      <c r="E64" s="21">
        <f t="shared" ref="E64:J64" si="20">(E63/((100-$D63)/100))</f>
        <v>11.74463920789802</v>
      </c>
      <c r="F64" s="21">
        <f t="shared" si="20"/>
        <v>1.9172783006648864</v>
      </c>
      <c r="G64" s="21">
        <f t="shared" si="20"/>
        <v>25.217971965575856</v>
      </c>
      <c r="H64" s="21">
        <f t="shared" si="20"/>
        <v>4.7670034251504001</v>
      </c>
      <c r="I64" s="21">
        <f t="shared" si="20"/>
        <v>61.122413147972388</v>
      </c>
      <c r="J64" s="21">
        <f t="shared" si="20"/>
        <v>54.029531128572778</v>
      </c>
      <c r="K64" s="21"/>
      <c r="L64" s="21">
        <f>(L63/((100-$D$61)/100))</f>
        <v>4497.7198681948494</v>
      </c>
      <c r="M64" s="21"/>
      <c r="N64" s="21"/>
      <c r="O64" s="21"/>
      <c r="P64" s="21"/>
      <c r="Q64" s="21"/>
      <c r="S64" s="73"/>
    </row>
    <row r="65" spans="1:19" s="19" customFormat="1" ht="12.75" customHeight="1" x14ac:dyDescent="0.45">
      <c r="A65" s="18" t="s">
        <v>24</v>
      </c>
      <c r="B65" s="58" t="s">
        <v>54</v>
      </c>
      <c r="C65" s="21">
        <v>86.974789915966383</v>
      </c>
      <c r="D65" s="21">
        <v>4.1166458225272198</v>
      </c>
      <c r="E65" s="21">
        <v>11.23</v>
      </c>
      <c r="F65" s="21">
        <v>5.31</v>
      </c>
      <c r="G65" s="21">
        <v>25.7</v>
      </c>
      <c r="H65" s="21">
        <v>13.09</v>
      </c>
      <c r="I65" s="21">
        <f>100-(E65+F65+G65+H65)</f>
        <v>44.67</v>
      </c>
      <c r="J65" s="21">
        <v>54.24</v>
      </c>
      <c r="K65" s="21"/>
      <c r="L65" s="21">
        <v>4155</v>
      </c>
      <c r="M65" s="21"/>
      <c r="N65" s="21"/>
      <c r="O65" s="21"/>
      <c r="P65" s="21">
        <v>0.46</v>
      </c>
      <c r="Q65" s="21">
        <v>201</v>
      </c>
      <c r="S65" s="73"/>
    </row>
    <row r="66" spans="1:19" s="19" customFormat="1" ht="12.75" customHeight="1" x14ac:dyDescent="0.45">
      <c r="B66" s="72" t="s">
        <v>117</v>
      </c>
      <c r="C66" s="21"/>
      <c r="D66" s="21"/>
      <c r="E66" s="21">
        <f>(E65/((100-$D$65)/100))</f>
        <v>11.712147636402172</v>
      </c>
      <c r="F66" s="21">
        <f>(F65/((100-$D$65)/100))</f>
        <v>5.5379789803468853</v>
      </c>
      <c r="G66" s="21">
        <f>(G65/((100-$D$65)/100))</f>
        <v>26.803401091321085</v>
      </c>
      <c r="H66" s="21">
        <f>(H65/((100-$D$65)/100))</f>
        <v>13.652004680365486</v>
      </c>
      <c r="I66" s="21">
        <f>(I65/((100-$D65)/100))</f>
        <v>46.5878570719577</v>
      </c>
      <c r="J66" s="21">
        <f>(J65/((100-$D65)/100))</f>
        <v>56.568734443317339</v>
      </c>
      <c r="K66" s="21"/>
      <c r="L66" s="21">
        <f>(L65/((100-$D$65)/100))</f>
        <v>4333.3903320793424</v>
      </c>
      <c r="M66" s="21"/>
      <c r="N66" s="21"/>
      <c r="O66" s="21"/>
      <c r="P66" s="21"/>
      <c r="Q66" s="21"/>
    </row>
    <row r="67" spans="1:19" s="19" customFormat="1" ht="12.75" customHeight="1" x14ac:dyDescent="0.45">
      <c r="A67" s="27" t="s">
        <v>18</v>
      </c>
      <c r="B67" s="58" t="s">
        <v>56</v>
      </c>
      <c r="C67" s="21">
        <v>82.802547770700642</v>
      </c>
      <c r="D67" s="21">
        <v>4.464657540315482</v>
      </c>
      <c r="E67" s="21">
        <v>10.029999999999999</v>
      </c>
      <c r="F67" s="21">
        <v>2.4700000000000002</v>
      </c>
      <c r="G67" s="21">
        <v>26.74</v>
      </c>
      <c r="H67" s="21">
        <v>11.91</v>
      </c>
      <c r="I67" s="21">
        <f>100-(E67+F67+G67+H67)</f>
        <v>48.850000000000009</v>
      </c>
      <c r="J67" s="21">
        <v>56.07</v>
      </c>
      <c r="K67" s="21"/>
      <c r="L67" s="21">
        <v>4245</v>
      </c>
      <c r="M67" s="21"/>
      <c r="N67" s="21"/>
      <c r="O67" s="21"/>
      <c r="P67" s="21">
        <v>0.42</v>
      </c>
      <c r="Q67" s="21">
        <v>173</v>
      </c>
    </row>
    <row r="68" spans="1:19" s="19" customFormat="1" ht="12.75" customHeight="1" x14ac:dyDescent="0.45">
      <c r="B68" s="72" t="s">
        <v>117</v>
      </c>
      <c r="C68" s="21"/>
      <c r="D68" s="21"/>
      <c r="E68" s="21">
        <f t="shared" ref="E68:J68" si="21">(E67/((100-$D67)/100))</f>
        <v>10.498732449964907</v>
      </c>
      <c r="F68" s="21">
        <f t="shared" si="21"/>
        <v>2.5854306232715176</v>
      </c>
      <c r="G68" s="21">
        <f t="shared" si="21"/>
        <v>27.989641646267359</v>
      </c>
      <c r="H68" s="21">
        <f t="shared" si="21"/>
        <v>12.466590576179666</v>
      </c>
      <c r="I68" s="21">
        <f t="shared" si="21"/>
        <v>51.132909290207955</v>
      </c>
      <c r="J68" s="21">
        <f t="shared" si="21"/>
        <v>58.690321881309309</v>
      </c>
      <c r="K68" s="21"/>
      <c r="L68" s="21">
        <f>(L67/((100-$D$67)/100))</f>
        <v>4443.38177967109</v>
      </c>
      <c r="M68" s="21"/>
      <c r="N68" s="21"/>
      <c r="O68" s="21"/>
      <c r="P68" s="21"/>
      <c r="Q68" s="21"/>
    </row>
    <row r="69" spans="1:19" s="19" customFormat="1" ht="12.75" customHeight="1" x14ac:dyDescent="0.45">
      <c r="A69" s="27" t="s">
        <v>22</v>
      </c>
      <c r="B69" s="58" t="s">
        <v>55</v>
      </c>
      <c r="C69" s="21">
        <v>84.193548387096769</v>
      </c>
      <c r="D69" s="21">
        <v>6.4094433782485662</v>
      </c>
      <c r="E69" s="21">
        <v>10.130000000000001</v>
      </c>
      <c r="F69" s="21">
        <v>2.21</v>
      </c>
      <c r="G69" s="21">
        <v>26.22</v>
      </c>
      <c r="H69" s="21">
        <v>11.2</v>
      </c>
      <c r="I69" s="21">
        <f>100-(E69+F69+G69+H69)</f>
        <v>50.239999999999995</v>
      </c>
      <c r="J69" s="21">
        <v>53.87</v>
      </c>
      <c r="K69" s="21"/>
      <c r="L69" s="21">
        <v>4200</v>
      </c>
      <c r="M69" s="21"/>
      <c r="N69" s="21"/>
      <c r="O69" s="21"/>
      <c r="P69" s="21">
        <v>0.26</v>
      </c>
      <c r="Q69" s="21">
        <v>136</v>
      </c>
    </row>
    <row r="70" spans="1:19" ht="12.75" customHeight="1" x14ac:dyDescent="0.45">
      <c r="B70" s="72" t="s">
        <v>117</v>
      </c>
      <c r="C70" s="21"/>
      <c r="D70" s="21"/>
      <c r="E70" s="21">
        <f>(E69/((100-$D$69)/100))</f>
        <v>10.823741588524415</v>
      </c>
      <c r="F70" s="21">
        <f>(F69/((100-$D$69)/100))</f>
        <v>2.3613493495201339</v>
      </c>
      <c r="G70" s="21">
        <f>(G69/((100-$D$69)/100))</f>
        <v>28.015647033673261</v>
      </c>
      <c r="H70" s="21">
        <f>(H69/((100-$D$69)/100))</f>
        <v>11.96701932788484</v>
      </c>
      <c r="I70" s="21">
        <f>(I69/((100-$D69)/100))</f>
        <v>53.680629556511995</v>
      </c>
      <c r="J70" s="21">
        <f>(J69/((100-$D69)/100))</f>
        <v>57.559225999388964</v>
      </c>
      <c r="K70" s="21"/>
      <c r="L70" s="21">
        <f>(L69/((100-$D$69)/100))</f>
        <v>4487.6322479568153</v>
      </c>
      <c r="M70" s="21"/>
      <c r="N70" s="21"/>
      <c r="O70" s="21"/>
      <c r="P70" s="21"/>
      <c r="Q70" s="21"/>
      <c r="R70" s="19"/>
      <c r="S70" s="19"/>
    </row>
    <row r="71" spans="1:19" s="19" customFormat="1" ht="12.75" customHeight="1" x14ac:dyDescent="0.45">
      <c r="A71" s="27" t="s">
        <v>20</v>
      </c>
      <c r="B71" s="58" t="s">
        <v>54</v>
      </c>
      <c r="C71" s="21">
        <v>80.440528634361243</v>
      </c>
      <c r="D71" s="21">
        <v>3.9698530274293162</v>
      </c>
      <c r="E71" s="21">
        <v>11.83</v>
      </c>
      <c r="F71" s="21">
        <v>3.31</v>
      </c>
      <c r="G71" s="21">
        <v>23.97</v>
      </c>
      <c r="H71" s="21">
        <v>12.43</v>
      </c>
      <c r="I71" s="21">
        <f>100-(E71+F71+G71+H71)</f>
        <v>48.46</v>
      </c>
      <c r="J71" s="21">
        <v>51.64</v>
      </c>
      <c r="K71" s="21"/>
      <c r="L71" s="21">
        <v>4235</v>
      </c>
      <c r="M71" s="21"/>
      <c r="N71" s="21"/>
      <c r="O71" s="21"/>
      <c r="P71" s="21">
        <v>0.85</v>
      </c>
      <c r="Q71" s="21">
        <v>227</v>
      </c>
    </row>
    <row r="72" spans="1:19" s="19" customFormat="1" ht="12.75" customHeight="1" x14ac:dyDescent="0.45">
      <c r="A72" s="18"/>
      <c r="B72" s="72" t="s">
        <v>117</v>
      </c>
      <c r="C72" s="21"/>
      <c r="D72" s="21"/>
      <c r="E72" s="21">
        <f t="shared" ref="E72:J72" si="22">(E71/((100-$D71)/100))</f>
        <v>12.319048104111545</v>
      </c>
      <c r="F72" s="21">
        <f t="shared" si="22"/>
        <v>3.4468342539821819</v>
      </c>
      <c r="G72" s="21">
        <f t="shared" si="22"/>
        <v>24.960911500892113</v>
      </c>
      <c r="H72" s="21">
        <f t="shared" si="22"/>
        <v>12.943851896374175</v>
      </c>
      <c r="I72" s="21">
        <f t="shared" si="22"/>
        <v>50.463319621745178</v>
      </c>
      <c r="J72" s="21">
        <f t="shared" si="22"/>
        <v>53.774779720737122</v>
      </c>
      <c r="K72" s="21"/>
      <c r="L72" s="21">
        <f>(L71/((100-$D$71)/100))</f>
        <v>4410.0734337204049</v>
      </c>
      <c r="M72" s="21"/>
      <c r="N72" s="21"/>
      <c r="O72" s="21"/>
      <c r="P72" s="21"/>
      <c r="Q72" s="21"/>
    </row>
    <row r="73" spans="1:19" s="19" customFormat="1" ht="12.75" customHeight="1" x14ac:dyDescent="0.45">
      <c r="A73" s="27"/>
      <c r="B73" s="128" t="s">
        <v>120</v>
      </c>
      <c r="C73" s="21"/>
      <c r="D73" s="22">
        <f>(D61+D63+D65+D67+D69+D71)/6</f>
        <v>4.8219233827908212</v>
      </c>
      <c r="E73" s="22">
        <f t="shared" ref="E73:J73" si="23">(E62+E64+E66+E68+E70+E72)/6</f>
        <v>11.47413705398534</v>
      </c>
      <c r="F73" s="22">
        <f t="shared" si="23"/>
        <v>3.1243085657802006</v>
      </c>
      <c r="G73" s="22">
        <f t="shared" si="23"/>
        <v>26.69685361084758</v>
      </c>
      <c r="H73" s="22">
        <f t="shared" si="23"/>
        <v>11.348795841053002</v>
      </c>
      <c r="I73" s="22">
        <f t="shared" si="23"/>
        <v>52.430495808193932</v>
      </c>
      <c r="J73" s="22">
        <f t="shared" si="23"/>
        <v>56.183854674749085</v>
      </c>
      <c r="K73" s="22"/>
      <c r="L73" s="22">
        <f>(L62+L64+L66+L68+L70+L72)/6</f>
        <v>4444.6338243263845</v>
      </c>
      <c r="M73" s="22">
        <f>(M62+M64+M66+M68)/4</f>
        <v>0</v>
      </c>
      <c r="N73" s="22">
        <f>(N62+N64+N66+N68)/4</f>
        <v>0</v>
      </c>
      <c r="O73" s="22">
        <f>(O61+O63+O65+O67)/4</f>
        <v>0</v>
      </c>
      <c r="P73" s="22">
        <f>(P61+P63+P65+P67+P69+P71)/6</f>
        <v>0.45833333333333331</v>
      </c>
      <c r="Q73" s="22">
        <f>(Q61+Q63+Q65+Q67+Q69+Q71)/6</f>
        <v>181.66666666666666</v>
      </c>
    </row>
    <row r="74" spans="1:19" s="19" customFormat="1" ht="12.75" customHeight="1" x14ac:dyDescent="0.45">
      <c r="A74" s="27" t="s">
        <v>24</v>
      </c>
      <c r="B74" s="57" t="s">
        <v>53</v>
      </c>
      <c r="C74" s="25">
        <v>81.223628691983123</v>
      </c>
      <c r="D74" s="25">
        <v>4.16</v>
      </c>
      <c r="E74" s="25">
        <v>11.44</v>
      </c>
      <c r="F74" s="25">
        <v>3.24</v>
      </c>
      <c r="G74" s="25">
        <v>24.98</v>
      </c>
      <c r="H74" s="25">
        <v>12.31</v>
      </c>
      <c r="I74" s="25">
        <f>100-(E74+F74+G74+H74)</f>
        <v>48.03</v>
      </c>
      <c r="J74" s="25">
        <v>54.18</v>
      </c>
      <c r="K74" s="25"/>
      <c r="L74" s="25">
        <v>4357</v>
      </c>
      <c r="M74" s="25"/>
      <c r="N74" s="25"/>
      <c r="O74" s="25"/>
      <c r="P74" s="25">
        <v>0.14000000000000001</v>
      </c>
      <c r="Q74" s="25">
        <v>139</v>
      </c>
    </row>
    <row r="75" spans="1:19" s="19" customFormat="1" ht="12.75" customHeight="1" x14ac:dyDescent="0.45">
      <c r="B75" s="71" t="s">
        <v>117</v>
      </c>
      <c r="C75" s="25"/>
      <c r="D75" s="25"/>
      <c r="E75" s="25">
        <f t="shared" ref="E75:J75" si="24">(E74/((100-$D74)/100))</f>
        <v>11.936560934891485</v>
      </c>
      <c r="F75" s="25">
        <f t="shared" si="24"/>
        <v>3.3806343906510854</v>
      </c>
      <c r="G75" s="25">
        <f t="shared" si="24"/>
        <v>26.064273789649416</v>
      </c>
      <c r="H75" s="25">
        <f t="shared" si="24"/>
        <v>12.844323873121869</v>
      </c>
      <c r="I75" s="25">
        <f t="shared" si="24"/>
        <v>50.114774624373958</v>
      </c>
      <c r="J75" s="25">
        <f t="shared" si="24"/>
        <v>56.531719532554256</v>
      </c>
      <c r="K75" s="25"/>
      <c r="L75" s="25">
        <f>(L71/((100-D74)/100))</f>
        <v>4418.8230383973287</v>
      </c>
      <c r="M75" s="25"/>
      <c r="N75" s="25"/>
      <c r="O75" s="25"/>
      <c r="P75" s="25"/>
      <c r="Q75" s="25"/>
    </row>
    <row r="76" spans="1:19" s="19" customFormat="1" ht="12.75" customHeight="1" x14ac:dyDescent="0.45">
      <c r="A76" s="27" t="s">
        <v>23</v>
      </c>
      <c r="B76" s="57" t="s">
        <v>52</v>
      </c>
      <c r="C76" s="25">
        <v>82.950191570881231</v>
      </c>
      <c r="D76" s="25">
        <v>5.46</v>
      </c>
      <c r="E76" s="25">
        <v>11.86</v>
      </c>
      <c r="F76" s="25">
        <v>2.74</v>
      </c>
      <c r="G76" s="25">
        <v>23.7</v>
      </c>
      <c r="H76" s="25">
        <v>11.69</v>
      </c>
      <c r="I76" s="25">
        <f>100-(E76+F76+G76+H76)</f>
        <v>50.010000000000005</v>
      </c>
      <c r="J76" s="25">
        <v>51.28</v>
      </c>
      <c r="K76" s="25"/>
      <c r="L76" s="25">
        <v>4243</v>
      </c>
      <c r="M76" s="25"/>
      <c r="N76" s="25"/>
      <c r="O76" s="25"/>
      <c r="P76" s="25">
        <v>0.52</v>
      </c>
      <c r="Q76" s="25">
        <v>195</v>
      </c>
    </row>
    <row r="77" spans="1:19" s="19" customFormat="1" ht="12.75" customHeight="1" x14ac:dyDescent="0.45">
      <c r="B77" s="71" t="s">
        <v>117</v>
      </c>
      <c r="C77" s="25"/>
      <c r="D77" s="25"/>
      <c r="E77" s="25">
        <f t="shared" ref="E77:J77" si="25">(E76/((100-$D76)/100))</f>
        <v>12.544954516606726</v>
      </c>
      <c r="F77" s="25">
        <f t="shared" si="25"/>
        <v>2.898244129469008</v>
      </c>
      <c r="G77" s="25">
        <f t="shared" si="25"/>
        <v>25.068753966574995</v>
      </c>
      <c r="H77" s="25">
        <f t="shared" si="25"/>
        <v>12.365136450179817</v>
      </c>
      <c r="I77" s="25">
        <f t="shared" si="25"/>
        <v>52.898244129469013</v>
      </c>
      <c r="J77" s="25">
        <f t="shared" si="25"/>
        <v>54.241590861011211</v>
      </c>
      <c r="K77" s="25"/>
      <c r="L77" s="25">
        <f>(L73/((100-D76)/100))</f>
        <v>4701.3262368588794</v>
      </c>
      <c r="M77" s="25"/>
      <c r="N77" s="25"/>
      <c r="O77" s="25"/>
      <c r="P77" s="25"/>
      <c r="Q77" s="25"/>
    </row>
    <row r="78" spans="1:19" s="19" customFormat="1" ht="12.75" customHeight="1" x14ac:dyDescent="0.45">
      <c r="A78" s="18" t="s">
        <v>25</v>
      </c>
      <c r="B78" s="57" t="s">
        <v>51</v>
      </c>
      <c r="C78" s="25">
        <v>86.235662148070901</v>
      </c>
      <c r="D78" s="25">
        <v>7.03</v>
      </c>
      <c r="E78" s="25">
        <v>11.43</v>
      </c>
      <c r="F78" s="25">
        <v>2.1800000000000002</v>
      </c>
      <c r="G78" s="25">
        <v>25.95</v>
      </c>
      <c r="H78" s="25">
        <v>10.46</v>
      </c>
      <c r="I78" s="25">
        <f>100-(E78+F78+G78+H78)</f>
        <v>49.98</v>
      </c>
      <c r="J78" s="25">
        <v>54.95</v>
      </c>
      <c r="K78" s="25"/>
      <c r="L78" s="25">
        <v>4178</v>
      </c>
      <c r="M78" s="25"/>
      <c r="N78" s="25"/>
      <c r="O78" s="25"/>
      <c r="P78" s="25">
        <v>0.28000000000000003</v>
      </c>
      <c r="Q78" s="25">
        <v>145</v>
      </c>
    </row>
    <row r="79" spans="1:19" s="19" customFormat="1" ht="12.75" customHeight="1" x14ac:dyDescent="0.45">
      <c r="B79" s="71" t="s">
        <v>117</v>
      </c>
      <c r="C79" s="25"/>
      <c r="D79" s="25"/>
      <c r="E79" s="25">
        <f t="shared" ref="E79:J79" si="26">(E78/((100-$D78)/100))</f>
        <v>12.294288480154888</v>
      </c>
      <c r="F79" s="25">
        <f t="shared" si="26"/>
        <v>2.3448424222867592</v>
      </c>
      <c r="G79" s="25">
        <f t="shared" si="26"/>
        <v>27.912229751532752</v>
      </c>
      <c r="H79" s="25">
        <f t="shared" si="26"/>
        <v>11.250941163816286</v>
      </c>
      <c r="I79" s="25">
        <f t="shared" si="26"/>
        <v>53.759277186189088</v>
      </c>
      <c r="J79" s="25">
        <f t="shared" si="26"/>
        <v>59.105087662686891</v>
      </c>
      <c r="K79" s="25"/>
      <c r="L79" s="25">
        <f>(L78/((100-D78)/100))</f>
        <v>4493.9227707862756</v>
      </c>
      <c r="M79" s="25"/>
      <c r="N79" s="25"/>
      <c r="O79" s="25"/>
      <c r="P79" s="25"/>
      <c r="Q79" s="25"/>
    </row>
    <row r="80" spans="1:19" s="19" customFormat="1" ht="12.75" customHeight="1" x14ac:dyDescent="0.45">
      <c r="A80" s="18" t="s">
        <v>20</v>
      </c>
      <c r="B80" s="57" t="s">
        <v>53</v>
      </c>
      <c r="C80" s="25">
        <v>80.597014925373131</v>
      </c>
      <c r="D80" s="25">
        <v>7.84</v>
      </c>
      <c r="E80" s="25">
        <v>11.13</v>
      </c>
      <c r="F80" s="25">
        <v>2.62</v>
      </c>
      <c r="G80" s="25">
        <v>23.23</v>
      </c>
      <c r="H80" s="25">
        <v>12.03</v>
      </c>
      <c r="I80" s="25">
        <f>100-(E80+F80+G80+H80)</f>
        <v>50.989999999999995</v>
      </c>
      <c r="J80" s="25">
        <v>48.76</v>
      </c>
      <c r="K80" s="25"/>
      <c r="L80" s="25">
        <v>4147</v>
      </c>
      <c r="M80" s="25"/>
      <c r="N80" s="25"/>
      <c r="O80" s="25"/>
      <c r="P80" s="25">
        <v>0.52</v>
      </c>
      <c r="Q80" s="25">
        <v>222</v>
      </c>
    </row>
    <row r="81" spans="1:19" s="19" customFormat="1" ht="12.75" customHeight="1" x14ac:dyDescent="0.45">
      <c r="B81" s="71" t="s">
        <v>117</v>
      </c>
      <c r="C81" s="25"/>
      <c r="D81" s="25"/>
      <c r="E81" s="25">
        <f t="shared" ref="E81:J81" si="27">(E80/((100-$D80)/100))</f>
        <v>12.076822916666668</v>
      </c>
      <c r="F81" s="25">
        <f t="shared" si="27"/>
        <v>2.8428819444444446</v>
      </c>
      <c r="G81" s="25">
        <f t="shared" si="27"/>
        <v>25.206163194444446</v>
      </c>
      <c r="H81" s="25">
        <f t="shared" si="27"/>
        <v>13.053385416666666</v>
      </c>
      <c r="I81" s="25">
        <f t="shared" si="27"/>
        <v>55.327690972222221</v>
      </c>
      <c r="J81" s="25">
        <f t="shared" si="27"/>
        <v>52.907986111111107</v>
      </c>
      <c r="K81" s="25"/>
      <c r="L81" s="25">
        <f>(L80/((100-D80)/100))</f>
        <v>4499.7829861111113</v>
      </c>
      <c r="M81" s="25"/>
      <c r="N81" s="25"/>
      <c r="O81" s="25"/>
      <c r="P81" s="25"/>
      <c r="Q81" s="25"/>
      <c r="S81" s="18"/>
    </row>
    <row r="82" spans="1:19" ht="12.75" customHeight="1" x14ac:dyDescent="0.45">
      <c r="A82" s="18" t="s">
        <v>18</v>
      </c>
      <c r="B82" s="57" t="s">
        <v>52</v>
      </c>
      <c r="C82" s="25">
        <v>81.830065359477118</v>
      </c>
      <c r="D82" s="25">
        <v>5.74</v>
      </c>
      <c r="E82" s="25">
        <v>10.99</v>
      </c>
      <c r="F82" s="25">
        <v>2.89</v>
      </c>
      <c r="G82" s="25">
        <v>20.97</v>
      </c>
      <c r="H82" s="25">
        <v>11.17</v>
      </c>
      <c r="I82" s="25">
        <f>100-(E82+F82+G82+H82)</f>
        <v>53.98</v>
      </c>
      <c r="J82" s="25">
        <v>54.08</v>
      </c>
      <c r="K82" s="25"/>
      <c r="L82" s="25">
        <v>4257</v>
      </c>
      <c r="M82" s="25"/>
      <c r="N82" s="25"/>
      <c r="O82" s="25"/>
      <c r="P82" s="25">
        <v>0.48</v>
      </c>
      <c r="Q82" s="25">
        <v>187</v>
      </c>
      <c r="R82" s="19"/>
      <c r="S82" s="19"/>
    </row>
    <row r="83" spans="1:19" s="19" customFormat="1" ht="12.75" customHeight="1" x14ac:dyDescent="0.45">
      <c r="B83" s="71" t="s">
        <v>117</v>
      </c>
      <c r="C83" s="25"/>
      <c r="D83" s="25"/>
      <c r="E83" s="25">
        <f t="shared" ref="E83:J83" si="28">(E82/((100-$D82)/100))</f>
        <v>11.659240398896667</v>
      </c>
      <c r="F83" s="25">
        <f t="shared" si="28"/>
        <v>3.0659876936134096</v>
      </c>
      <c r="G83" s="25">
        <f t="shared" si="28"/>
        <v>22.246976448122211</v>
      </c>
      <c r="H83" s="25">
        <f t="shared" si="28"/>
        <v>11.850201570125185</v>
      </c>
      <c r="I83" s="25">
        <f t="shared" si="28"/>
        <v>57.267133460640771</v>
      </c>
      <c r="J83" s="25">
        <f t="shared" si="28"/>
        <v>57.373223000212171</v>
      </c>
      <c r="K83" s="25"/>
      <c r="L83" s="25">
        <f>(L82/((100-D82)/100))</f>
        <v>4516.2316995544234</v>
      </c>
      <c r="M83" s="25"/>
      <c r="N83" s="25"/>
      <c r="O83" s="25"/>
      <c r="P83" s="25"/>
      <c r="Q83" s="25"/>
    </row>
    <row r="84" spans="1:19" s="19" customFormat="1" ht="12.75" customHeight="1" x14ac:dyDescent="0.45">
      <c r="A84" s="18" t="s">
        <v>22</v>
      </c>
      <c r="B84" s="57" t="s">
        <v>51</v>
      </c>
      <c r="C84" s="25">
        <v>84.193548387096769</v>
      </c>
      <c r="D84" s="25">
        <v>6.17</v>
      </c>
      <c r="E84" s="25">
        <v>11.57</v>
      </c>
      <c r="F84" s="25">
        <v>2.59</v>
      </c>
      <c r="G84" s="25">
        <v>25.95</v>
      </c>
      <c r="H84" s="25">
        <v>11</v>
      </c>
      <c r="I84" s="25">
        <f>100-(E84+F84+G84+H84)</f>
        <v>48.89</v>
      </c>
      <c r="J84" s="25">
        <v>52.75</v>
      </c>
      <c r="K84" s="25"/>
      <c r="L84" s="25">
        <v>4201</v>
      </c>
      <c r="M84" s="25"/>
      <c r="N84" s="25"/>
      <c r="O84" s="25"/>
      <c r="P84" s="25">
        <v>0.24</v>
      </c>
      <c r="Q84" s="25">
        <v>131</v>
      </c>
    </row>
    <row r="85" spans="1:19" s="19" customFormat="1" ht="12.75" customHeight="1" x14ac:dyDescent="0.45">
      <c r="A85" s="18"/>
      <c r="B85" s="71" t="s">
        <v>117</v>
      </c>
      <c r="C85" s="25"/>
      <c r="D85" s="25"/>
      <c r="E85" s="25">
        <f t="shared" ref="E85:J85" si="29">(E84/((100-$D84)/100))</f>
        <v>12.330811041244804</v>
      </c>
      <c r="F85" s="25">
        <f t="shared" si="29"/>
        <v>2.7603112011083875</v>
      </c>
      <c r="G85" s="25">
        <f t="shared" si="29"/>
        <v>27.656399872109134</v>
      </c>
      <c r="H85" s="25">
        <f t="shared" si="29"/>
        <v>11.723329425556857</v>
      </c>
      <c r="I85" s="25">
        <f t="shared" si="29"/>
        <v>52.104870510497705</v>
      </c>
      <c r="J85" s="25">
        <f t="shared" si="29"/>
        <v>56.218693381647661</v>
      </c>
      <c r="K85" s="25"/>
      <c r="L85" s="25">
        <f>(L84/((100-D84)/100))</f>
        <v>4477.2460833422147</v>
      </c>
      <c r="M85" s="25"/>
      <c r="N85" s="25"/>
      <c r="O85" s="25"/>
      <c r="P85" s="25"/>
      <c r="Q85" s="25"/>
    </row>
    <row r="86" spans="1:19" s="19" customFormat="1" ht="12.75" customHeight="1" x14ac:dyDescent="0.45">
      <c r="A86" s="18"/>
      <c r="B86" s="129" t="s">
        <v>120</v>
      </c>
      <c r="C86" s="25"/>
      <c r="D86" s="62">
        <f>(D74+D76+D78+D80+D82+D84)/6</f>
        <v>6.0666666666666673</v>
      </c>
      <c r="E86" s="62">
        <f>(E75+E77+E79+E81+E83+E85)/6</f>
        <v>12.140446381410207</v>
      </c>
      <c r="F86" s="62">
        <f>(F75+F77+F79+F81+F83+F85)/6</f>
        <v>2.8821502969288488</v>
      </c>
      <c r="G86" s="62">
        <f>(G75+G77+G79+G81+G83+G85)/6</f>
        <v>25.692466170405492</v>
      </c>
      <c r="H86" s="62">
        <f>(H75+H77+H79+H81+H83+H85)/6</f>
        <v>12.181219649911114</v>
      </c>
      <c r="I86" s="62">
        <f>(I75+I77+I79+I81+I83+I85)/6</f>
        <v>53.57866514723213</v>
      </c>
      <c r="J86" s="62">
        <f>(J75+J79+J81+J83)/4</f>
        <v>56.479504076641106</v>
      </c>
      <c r="K86" s="62"/>
      <c r="L86" s="62">
        <f>(L75+L77+L79+L81+L83+L85)/6</f>
        <v>4517.8888025083725</v>
      </c>
      <c r="M86" s="62">
        <f>(M75+M79+M81+M83)/4</f>
        <v>0</v>
      </c>
      <c r="N86" s="62">
        <f>(N75+N79+N81+N83)/4</f>
        <v>0</v>
      </c>
      <c r="O86" s="62">
        <f>(O74+O78+O80+O82)/4</f>
        <v>0</v>
      </c>
      <c r="P86" s="19">
        <v>0.45833333333333331</v>
      </c>
      <c r="Q86" s="19">
        <v>181.66666666666666</v>
      </c>
      <c r="R86" s="66"/>
    </row>
    <row r="87" spans="1:19" s="19" customFormat="1" ht="12.75" customHeight="1" x14ac:dyDescent="0.45">
      <c r="A87" s="18" t="s">
        <v>25</v>
      </c>
      <c r="B87" s="56" t="s">
        <v>50</v>
      </c>
      <c r="C87" s="25">
        <v>85.337552742616026</v>
      </c>
      <c r="D87" s="25">
        <v>4.82</v>
      </c>
      <c r="E87" s="25">
        <v>10.99</v>
      </c>
      <c r="F87" s="25">
        <v>3.1</v>
      </c>
      <c r="G87" s="25">
        <v>25.13</v>
      </c>
      <c r="H87" s="25">
        <v>11.31</v>
      </c>
      <c r="I87" s="25">
        <f>100-(E87+F87+G87+H87)</f>
        <v>49.47</v>
      </c>
      <c r="J87" s="25">
        <v>53.94</v>
      </c>
      <c r="K87" s="25"/>
      <c r="L87" s="25">
        <v>4271</v>
      </c>
      <c r="M87" s="25"/>
      <c r="N87" s="25"/>
      <c r="O87" s="25"/>
      <c r="P87" s="25">
        <v>0.33</v>
      </c>
      <c r="Q87" s="25">
        <v>168</v>
      </c>
      <c r="R87" s="18"/>
    </row>
    <row r="88" spans="1:19" s="19" customFormat="1" ht="12.75" customHeight="1" x14ac:dyDescent="0.45">
      <c r="B88" s="70" t="s">
        <v>117</v>
      </c>
      <c r="C88" s="25"/>
      <c r="D88" s="25"/>
      <c r="E88" s="25">
        <f t="shared" ref="E88:J88" si="30">(E87/((100-$D87)/100))</f>
        <v>11.546543391468795</v>
      </c>
      <c r="F88" s="25">
        <f t="shared" si="30"/>
        <v>3.2569867619247739</v>
      </c>
      <c r="G88" s="25">
        <f t="shared" si="30"/>
        <v>26.402605589409536</v>
      </c>
      <c r="H88" s="25">
        <f t="shared" si="30"/>
        <v>11.882748476570708</v>
      </c>
      <c r="I88" s="25">
        <f t="shared" si="30"/>
        <v>51.975204874973727</v>
      </c>
      <c r="J88" s="25">
        <f t="shared" si="30"/>
        <v>56.671569657491062</v>
      </c>
      <c r="K88" s="25"/>
      <c r="L88" s="25">
        <f>(L87/((100-D87)/100))</f>
        <v>4487.2872452195834</v>
      </c>
      <c r="M88" s="25"/>
      <c r="N88" s="25"/>
      <c r="O88" s="25"/>
      <c r="P88" s="25"/>
      <c r="Q88" s="25"/>
    </row>
    <row r="89" spans="1:19" s="19" customFormat="1" ht="12.75" customHeight="1" x14ac:dyDescent="0.45">
      <c r="A89" s="18" t="s">
        <v>24</v>
      </c>
      <c r="B89" s="56" t="s">
        <v>49</v>
      </c>
      <c r="C89" s="25">
        <v>84.237726098191217</v>
      </c>
      <c r="D89" s="25">
        <v>4</v>
      </c>
      <c r="E89" s="25">
        <v>9.8800000000000008</v>
      </c>
      <c r="F89" s="25">
        <v>2.5299999999999998</v>
      </c>
      <c r="G89" s="25">
        <v>26.25</v>
      </c>
      <c r="H89" s="25">
        <v>11.07</v>
      </c>
      <c r="I89" s="25">
        <f>100-(E89+F89+G89+H89)</f>
        <v>50.27</v>
      </c>
      <c r="J89" s="25">
        <v>55.69</v>
      </c>
      <c r="K89" s="25"/>
      <c r="L89" s="25">
        <v>4340</v>
      </c>
      <c r="M89" s="25"/>
      <c r="N89" s="25"/>
      <c r="O89" s="25"/>
      <c r="P89" s="25">
        <v>0.23</v>
      </c>
      <c r="Q89" s="25">
        <v>145</v>
      </c>
    </row>
    <row r="90" spans="1:19" ht="12.75" customHeight="1" x14ac:dyDescent="0.45">
      <c r="B90" s="70" t="s">
        <v>117</v>
      </c>
      <c r="C90" s="25"/>
      <c r="D90" s="25"/>
      <c r="E90" s="25">
        <f t="shared" ref="E90:J90" si="31">(E89/((100-$D89)/100))</f>
        <v>10.291666666666668</v>
      </c>
      <c r="F90" s="25">
        <f t="shared" si="31"/>
        <v>2.6354166666666665</v>
      </c>
      <c r="G90" s="25">
        <f t="shared" si="31"/>
        <v>27.34375</v>
      </c>
      <c r="H90" s="25">
        <f t="shared" si="31"/>
        <v>11.53125</v>
      </c>
      <c r="I90" s="25">
        <f t="shared" si="31"/>
        <v>52.364583333333336</v>
      </c>
      <c r="J90" s="25">
        <f t="shared" si="31"/>
        <v>58.010416666666664</v>
      </c>
      <c r="K90" s="25"/>
      <c r="L90" s="25">
        <f>(L89/((100-D89)/100))</f>
        <v>4520.8333333333339</v>
      </c>
      <c r="M90" s="25"/>
      <c r="N90" s="25"/>
      <c r="O90" s="25"/>
      <c r="P90" s="25"/>
      <c r="Q90" s="25"/>
      <c r="R90" s="19"/>
      <c r="S90" s="19"/>
    </row>
    <row r="91" spans="1:19" s="19" customFormat="1" ht="12.75" customHeight="1" x14ac:dyDescent="0.45">
      <c r="A91" s="18" t="s">
        <v>23</v>
      </c>
      <c r="B91" s="56" t="s">
        <v>48</v>
      </c>
      <c r="C91" s="25">
        <v>84.671532846715323</v>
      </c>
      <c r="D91" s="25">
        <v>4.55</v>
      </c>
      <c r="E91" s="25">
        <v>12.04</v>
      </c>
      <c r="F91" s="25">
        <v>2.61</v>
      </c>
      <c r="G91" s="25">
        <v>25.13</v>
      </c>
      <c r="H91" s="25">
        <v>10.96</v>
      </c>
      <c r="I91" s="25">
        <f>100-(E91+F91+G91+H91)</f>
        <v>49.26</v>
      </c>
      <c r="J91" s="25">
        <v>51.73</v>
      </c>
      <c r="K91" s="25"/>
      <c r="L91" s="25">
        <v>4298</v>
      </c>
      <c r="M91" s="25"/>
      <c r="N91" s="25"/>
      <c r="O91" s="25"/>
      <c r="P91" s="25">
        <v>0.42</v>
      </c>
      <c r="Q91" s="25">
        <v>165</v>
      </c>
    </row>
    <row r="92" spans="1:19" ht="12.75" customHeight="1" x14ac:dyDescent="0.45">
      <c r="B92" s="70" t="s">
        <v>117</v>
      </c>
      <c r="C92" s="25"/>
      <c r="D92" s="25"/>
      <c r="E92" s="25">
        <f t="shared" ref="E92:J92" si="32">(E91/((100-$D91)/100))</f>
        <v>12.613933996856993</v>
      </c>
      <c r="F92" s="25">
        <f t="shared" si="32"/>
        <v>2.7344159245678363</v>
      </c>
      <c r="G92" s="25">
        <f t="shared" si="32"/>
        <v>26.327920377160815</v>
      </c>
      <c r="H92" s="25">
        <f t="shared" si="32"/>
        <v>11.482451545311683</v>
      </c>
      <c r="I92" s="25">
        <f t="shared" si="32"/>
        <v>51.608171817705603</v>
      </c>
      <c r="J92" s="25">
        <f t="shared" si="32"/>
        <v>54.195914091147195</v>
      </c>
      <c r="K92" s="25"/>
      <c r="L92" s="25">
        <f>(L91/((100-D91)/100))</f>
        <v>4502.8810895756942</v>
      </c>
      <c r="M92" s="25"/>
      <c r="N92" s="25"/>
      <c r="O92" s="25"/>
      <c r="P92" s="25"/>
      <c r="Q92" s="25"/>
      <c r="R92" s="19"/>
      <c r="S92" s="19"/>
    </row>
    <row r="93" spans="1:19" s="19" customFormat="1" ht="12.75" customHeight="1" x14ac:dyDescent="0.45">
      <c r="A93" s="18" t="s">
        <v>22</v>
      </c>
      <c r="B93" s="56" t="s">
        <v>50</v>
      </c>
      <c r="C93" s="25">
        <v>84.85158648925281</v>
      </c>
      <c r="D93" s="25">
        <v>6.13</v>
      </c>
      <c r="E93" s="25">
        <v>9.66</v>
      </c>
      <c r="F93" s="25">
        <v>2.21</v>
      </c>
      <c r="G93" s="25">
        <v>27.2</v>
      </c>
      <c r="H93" s="25">
        <v>11.14</v>
      </c>
      <c r="I93" s="25">
        <f>100-(E93+F93+G93+H93)</f>
        <v>49.79</v>
      </c>
      <c r="J93" s="25">
        <v>56.6</v>
      </c>
      <c r="K93" s="25"/>
      <c r="L93" s="25">
        <v>4230</v>
      </c>
      <c r="M93" s="25"/>
      <c r="N93" s="25"/>
      <c r="O93" s="25"/>
      <c r="P93" s="25">
        <v>0.15</v>
      </c>
      <c r="Q93" s="25">
        <v>121</v>
      </c>
      <c r="S93" s="18"/>
    </row>
    <row r="94" spans="1:19" ht="12.75" customHeight="1" x14ac:dyDescent="0.45">
      <c r="B94" s="70" t="s">
        <v>117</v>
      </c>
      <c r="C94" s="25"/>
      <c r="D94" s="25"/>
      <c r="E94" s="25">
        <f t="shared" ref="E94:J94" si="33">(E93/((100-$D93)/100))</f>
        <v>10.290827740492169</v>
      </c>
      <c r="F94" s="25">
        <f t="shared" si="33"/>
        <v>2.3543198039842332</v>
      </c>
      <c r="G94" s="25">
        <f t="shared" si="33"/>
        <v>28.976243741344408</v>
      </c>
      <c r="H94" s="25">
        <f t="shared" si="33"/>
        <v>11.867476297006498</v>
      </c>
      <c r="I94" s="25">
        <f t="shared" si="33"/>
        <v>53.041440289762434</v>
      </c>
      <c r="J94" s="25">
        <f t="shared" si="33"/>
        <v>60.296154255885796</v>
      </c>
      <c r="K94" s="25"/>
      <c r="L94" s="25">
        <f>(L93/((100-D93)/100))</f>
        <v>4506.2320230105461</v>
      </c>
      <c r="M94" s="25"/>
      <c r="N94" s="25"/>
      <c r="O94" s="25"/>
      <c r="P94" s="25"/>
      <c r="Q94" s="25"/>
      <c r="R94" s="19"/>
      <c r="S94" s="19"/>
    </row>
    <row r="95" spans="1:19" ht="12.75" customHeight="1" x14ac:dyDescent="0.45">
      <c r="A95" s="18" t="s">
        <v>20</v>
      </c>
      <c r="B95" s="56" t="s">
        <v>49</v>
      </c>
      <c r="C95" s="25">
        <v>80.625</v>
      </c>
      <c r="D95" s="25">
        <v>4.71</v>
      </c>
      <c r="E95" s="25">
        <v>12.04</v>
      </c>
      <c r="F95" s="25">
        <v>3.94</v>
      </c>
      <c r="G95" s="25">
        <v>24.1</v>
      </c>
      <c r="H95" s="25">
        <v>10.57</v>
      </c>
      <c r="I95" s="25">
        <f>100-(E95+F95+G95+H95)</f>
        <v>49.35</v>
      </c>
      <c r="J95" s="25">
        <v>51.58</v>
      </c>
      <c r="K95" s="25"/>
      <c r="L95" s="25">
        <v>4463</v>
      </c>
      <c r="M95" s="25"/>
      <c r="N95" s="25"/>
      <c r="O95" s="25"/>
      <c r="P95" s="25">
        <v>0.76</v>
      </c>
      <c r="Q95" s="25">
        <v>219</v>
      </c>
      <c r="R95" s="19"/>
      <c r="S95" s="19"/>
    </row>
    <row r="96" spans="1:19" ht="12.75" customHeight="1" x14ac:dyDescent="0.45">
      <c r="B96" s="70" t="s">
        <v>117</v>
      </c>
      <c r="C96" s="25"/>
      <c r="D96" s="25"/>
      <c r="E96" s="25">
        <f t="shared" ref="E96:J96" si="34">(E95/((100-$D95)/100))</f>
        <v>12.635113862944694</v>
      </c>
      <c r="F96" s="25">
        <f t="shared" si="34"/>
        <v>4.1347465631230973</v>
      </c>
      <c r="G96" s="25">
        <f t="shared" si="34"/>
        <v>25.291216287123518</v>
      </c>
      <c r="H96" s="25">
        <f t="shared" si="34"/>
        <v>11.092454612236331</v>
      </c>
      <c r="I96" s="25">
        <f t="shared" si="34"/>
        <v>51.789274845209356</v>
      </c>
      <c r="J96" s="25">
        <f t="shared" si="34"/>
        <v>54.129499422814561</v>
      </c>
      <c r="K96" s="25"/>
      <c r="L96" s="25">
        <f>(L95/((100-D95)/100))</f>
        <v>4683.5974393955294</v>
      </c>
      <c r="M96" s="25"/>
      <c r="N96" s="25"/>
      <c r="O96" s="25"/>
      <c r="P96" s="25"/>
      <c r="Q96" s="25"/>
      <c r="R96" s="19"/>
      <c r="S96" s="19"/>
    </row>
    <row r="97" spans="1:22" ht="12.75" customHeight="1" x14ac:dyDescent="0.45">
      <c r="A97" s="18" t="s">
        <v>18</v>
      </c>
      <c r="B97" s="56" t="s">
        <v>48</v>
      </c>
      <c r="C97" s="25">
        <v>93.564605329311206</v>
      </c>
      <c r="D97" s="25">
        <v>6.53</v>
      </c>
      <c r="E97" s="25">
        <v>11.23</v>
      </c>
      <c r="F97" s="25">
        <v>3.23</v>
      </c>
      <c r="G97" s="25">
        <v>26.99</v>
      </c>
      <c r="H97" s="25">
        <v>9.98</v>
      </c>
      <c r="I97" s="25">
        <f>100-(E97+F97+G97+H97)</f>
        <v>48.569999999999993</v>
      </c>
      <c r="J97" s="25">
        <v>53.79</v>
      </c>
      <c r="K97" s="25"/>
      <c r="L97" s="25">
        <v>4288</v>
      </c>
      <c r="M97" s="25"/>
      <c r="N97" s="25"/>
      <c r="O97" s="25"/>
      <c r="P97" s="25">
        <v>0.64</v>
      </c>
      <c r="Q97" s="25">
        <v>210</v>
      </c>
      <c r="R97" s="19"/>
      <c r="S97" s="19"/>
    </row>
    <row r="98" spans="1:22" ht="12.75" customHeight="1" x14ac:dyDescent="0.45">
      <c r="B98" s="70" t="s">
        <v>117</v>
      </c>
      <c r="C98" s="25"/>
      <c r="D98" s="25"/>
      <c r="E98" s="25">
        <f t="shared" ref="E98:J98" si="35">(E97/((100-$D97)/100))</f>
        <v>12.014550123034129</v>
      </c>
      <c r="F98" s="25">
        <f t="shared" si="35"/>
        <v>3.4556542206055418</v>
      </c>
      <c r="G98" s="25">
        <f t="shared" si="35"/>
        <v>28.875575050818444</v>
      </c>
      <c r="H98" s="25">
        <f t="shared" si="35"/>
        <v>10.677222638279662</v>
      </c>
      <c r="I98" s="25">
        <f t="shared" si="35"/>
        <v>51.963196747619548</v>
      </c>
      <c r="J98" s="25">
        <f t="shared" si="35"/>
        <v>57.547876323954213</v>
      </c>
      <c r="K98" s="25"/>
      <c r="L98" s="25">
        <f>(L97/((100-D97)/100))</f>
        <v>4587.5682037017223</v>
      </c>
      <c r="M98" s="25"/>
      <c r="N98" s="25"/>
      <c r="O98" s="25"/>
      <c r="P98" s="25"/>
      <c r="Q98" s="25"/>
      <c r="R98" s="19"/>
      <c r="S98" s="19"/>
    </row>
    <row r="99" spans="1:22" ht="12.75" customHeight="1" x14ac:dyDescent="0.45">
      <c r="B99" s="129" t="s">
        <v>120</v>
      </c>
      <c r="C99" s="25"/>
      <c r="D99" s="62">
        <f>(D87+D89+D91+D93+D95+D97)/6</f>
        <v>5.123333333333334</v>
      </c>
      <c r="E99" s="62">
        <f>(E88+E90+E92+E94+E96+E98)/6</f>
        <v>11.565439296910576</v>
      </c>
      <c r="F99" s="62">
        <f>(F88+F90+F92+F94+F96+F98)/6</f>
        <v>3.0952566568120248</v>
      </c>
      <c r="G99" s="62">
        <f>(G88+G90+G92+G94+G96+G98)/6</f>
        <v>27.202885174309454</v>
      </c>
      <c r="H99" s="62">
        <f>(H88+H90+H92+H94+H96+H98)/6</f>
        <v>11.422267261567479</v>
      </c>
      <c r="I99" s="62">
        <f>(I88+I90+I92+I94+I96+I98)/6</f>
        <v>52.123645318100671</v>
      </c>
      <c r="J99" s="62">
        <f>(J88+J92+J94+J96)/4</f>
        <v>56.323284356834648</v>
      </c>
      <c r="K99" s="62"/>
      <c r="L99" s="62">
        <f>(L88+L90+L92+L94+L96+L98)/6</f>
        <v>4548.0665557060684</v>
      </c>
      <c r="M99" s="62">
        <f>(M88+M92+M94+M96)/4</f>
        <v>0</v>
      </c>
      <c r="N99" s="62">
        <f>(N88+N92+N94+N96)/4</f>
        <v>0</v>
      </c>
      <c r="O99" s="62">
        <f>(O87+O91+O93+O95)/4</f>
        <v>0</v>
      </c>
      <c r="P99" s="19">
        <v>0.45833333333333331</v>
      </c>
      <c r="Q99" s="19">
        <v>181.66666666666666</v>
      </c>
      <c r="S99" s="19"/>
    </row>
    <row r="100" spans="1:22" ht="12.75" customHeight="1" x14ac:dyDescent="0.45">
      <c r="B100" s="19"/>
      <c r="C100" s="19"/>
      <c r="D100" s="1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19"/>
      <c r="R100" s="19"/>
      <c r="S100" s="19"/>
      <c r="T100" s="19"/>
    </row>
    <row r="101" spans="1:22" ht="12.75" customHeight="1" x14ac:dyDescent="0.45">
      <c r="B101" s="68" t="s">
        <v>118</v>
      </c>
      <c r="C101" s="68"/>
      <c r="D101" s="67"/>
      <c r="E101" s="19"/>
      <c r="F101" s="19"/>
      <c r="G101" s="19"/>
      <c r="H101" s="19"/>
      <c r="I101" s="19"/>
      <c r="J101" s="19"/>
      <c r="K101" s="19"/>
      <c r="L101" s="19"/>
      <c r="O101" s="19"/>
      <c r="P101" s="19"/>
      <c r="Q101" s="19"/>
      <c r="R101" s="19"/>
      <c r="S101" s="19"/>
    </row>
    <row r="102" spans="1:22" ht="12.75" customHeight="1" x14ac:dyDescent="0.45">
      <c r="B102" s="64" t="s">
        <v>60</v>
      </c>
      <c r="C102" s="31" t="s">
        <v>85</v>
      </c>
      <c r="D102" s="31"/>
      <c r="E102" s="31" t="s">
        <v>112</v>
      </c>
      <c r="F102" s="31" t="s">
        <v>108</v>
      </c>
      <c r="G102" s="31" t="s">
        <v>109</v>
      </c>
      <c r="H102" s="31" t="s">
        <v>122</v>
      </c>
      <c r="I102" s="31" t="s">
        <v>72</v>
      </c>
      <c r="J102" s="31" t="s">
        <v>71</v>
      </c>
      <c r="K102" s="31" t="s">
        <v>70</v>
      </c>
      <c r="L102" s="31" t="s">
        <v>74</v>
      </c>
      <c r="M102" s="31" t="s">
        <v>68</v>
      </c>
      <c r="N102" s="31" t="s">
        <v>67</v>
      </c>
      <c r="P102" s="19"/>
      <c r="Q102" s="19"/>
      <c r="R102" s="19"/>
      <c r="S102" s="19"/>
      <c r="T102" s="19"/>
      <c r="U102" s="19"/>
    </row>
    <row r="103" spans="1:22" ht="12.75" customHeight="1" x14ac:dyDescent="0.45">
      <c r="A103" s="18" t="s">
        <v>23</v>
      </c>
      <c r="B103" s="29" t="s">
        <v>31</v>
      </c>
      <c r="C103" s="65">
        <f>L5</f>
        <v>4377.8028000000013</v>
      </c>
      <c r="D103" s="65"/>
      <c r="E103" s="65">
        <f>($J5*$F$44)/100+($K5*$F$42)/100</f>
        <v>519.16160000000013</v>
      </c>
      <c r="F103" s="65">
        <f>($J5*$G$46)/100+($K5*$G$42)/100</f>
        <v>223.06057268893946</v>
      </c>
      <c r="G103" s="65">
        <f>($J5*$H$44)/100+($K5*$H$42)/100</f>
        <v>1192.0400000000002</v>
      </c>
      <c r="H103" s="65">
        <f>($J5*$I$44)/100+($K5*$I$42)/100</f>
        <v>318.24200000000008</v>
      </c>
      <c r="I103" s="65">
        <f>($J5*$J$44)/100+($K5*$J$42)/100</f>
        <v>2146.8568000000009</v>
      </c>
      <c r="J103" s="65">
        <f>($J5*$K$44)/100+($K5*$K$42)/100</f>
        <v>2412.2476000000011</v>
      </c>
      <c r="K103" s="65"/>
      <c r="L103" s="65">
        <f>(($J5*M$44)+($K5*M$42))/1000</f>
        <v>19346.096000000009</v>
      </c>
      <c r="M103" s="65"/>
      <c r="N103" s="65"/>
      <c r="O103" s="19"/>
      <c r="P103" s="19"/>
      <c r="Q103" s="19"/>
      <c r="R103" s="19"/>
      <c r="S103" s="19"/>
      <c r="T103" s="19"/>
    </row>
    <row r="104" spans="1:22" ht="12.75" customHeight="1" x14ac:dyDescent="0.45">
      <c r="A104" s="18" t="s">
        <v>25</v>
      </c>
      <c r="B104" s="29" t="s">
        <v>30</v>
      </c>
      <c r="C104" s="65">
        <f>L6</f>
        <v>4377.8028000000013</v>
      </c>
      <c r="D104" s="65"/>
      <c r="E104" s="65">
        <f>($J6*$F$44)/100+($K6*$F$42)/100</f>
        <v>519.16160000000013</v>
      </c>
      <c r="F104" s="65">
        <f>($J6*$G$46)/100+($K6*$G$42)/100</f>
        <v>223.06057268893946</v>
      </c>
      <c r="G104" s="65">
        <f>($J6*$H$44)/100+($K6*$H$42)/100</f>
        <v>1192.0400000000002</v>
      </c>
      <c r="H104" s="65">
        <f>($J6*$I$44)/100+($K6*$I$42)/100</f>
        <v>318.24200000000008</v>
      </c>
      <c r="I104" s="65">
        <f>($J6*$J$44)/100+($K6*$J$42)/100</f>
        <v>2146.8568000000009</v>
      </c>
      <c r="J104" s="65">
        <f>($J6*$K$44)/100+($K6*$K$42)/100</f>
        <v>2412.2476000000011</v>
      </c>
      <c r="K104" s="65"/>
      <c r="L104" s="65">
        <f>(($J6*M$44)+($K6*M$42))/1000</f>
        <v>19346.096000000009</v>
      </c>
      <c r="M104" s="65"/>
      <c r="N104" s="65"/>
      <c r="O104" s="19"/>
      <c r="P104" s="19"/>
      <c r="Q104" s="19"/>
      <c r="R104" s="19"/>
      <c r="S104" s="19"/>
      <c r="T104" s="19"/>
      <c r="U104" s="19"/>
    </row>
    <row r="105" spans="1:22" ht="12.75" customHeight="1" x14ac:dyDescent="0.45">
      <c r="A105" s="18" t="s">
        <v>24</v>
      </c>
      <c r="B105" s="29" t="s">
        <v>29</v>
      </c>
      <c r="C105" s="65">
        <f>L7</f>
        <v>4377.8028000000013</v>
      </c>
      <c r="D105" s="65"/>
      <c r="E105" s="65">
        <f>($J7*$F$44)/100+($K7*$F$42)/100</f>
        <v>519.16160000000013</v>
      </c>
      <c r="F105" s="65">
        <f>($J7*$G$46)/100+($K7*$G$42)/100</f>
        <v>223.06057268893946</v>
      </c>
      <c r="G105" s="65">
        <f>($J7*$H$44)/100+($K7*$H$42)/100</f>
        <v>1192.0400000000002</v>
      </c>
      <c r="H105" s="65">
        <f>($J7*$I$44)/100+($K7*$I$42)/100</f>
        <v>318.24200000000008</v>
      </c>
      <c r="I105" s="65">
        <f>($J7*$J$44)/100+($K7*$J$42)/100</f>
        <v>2146.8568000000009</v>
      </c>
      <c r="J105" s="65">
        <f>($J7*$K$44)/100+($K7*$K$42)/100</f>
        <v>2412.2476000000011</v>
      </c>
      <c r="K105" s="65"/>
      <c r="L105" s="65">
        <f>(($J7*M$44)+($K7*M$42))/1000</f>
        <v>19346.096000000009</v>
      </c>
      <c r="M105" s="65"/>
      <c r="N105" s="65"/>
      <c r="O105" s="19"/>
      <c r="P105" s="19"/>
      <c r="Q105" s="19"/>
      <c r="R105" s="19"/>
      <c r="S105" s="19"/>
      <c r="T105" s="19"/>
    </row>
    <row r="106" spans="1:22" ht="12.75" customHeight="1" x14ac:dyDescent="0.45">
      <c r="A106" s="27" t="s">
        <v>18</v>
      </c>
      <c r="B106" s="29" t="s">
        <v>31</v>
      </c>
      <c r="C106" s="65">
        <f>L10</f>
        <v>4795.7868000000017</v>
      </c>
      <c r="D106" s="65"/>
      <c r="E106" s="65">
        <f>($J10*$F$44)/100+($K10*$F$42)/100</f>
        <v>562.48320000000012</v>
      </c>
      <c r="F106" s="65">
        <f>($J10*$G$46)/100+($K10*$G$42)/100</f>
        <v>244.48174427505685</v>
      </c>
      <c r="G106" s="65">
        <f>($J10*$H$44)/100+($K10*$H$42)/100</f>
        <v>1335.7584000000002</v>
      </c>
      <c r="H106" s="65">
        <f>($J10*$I$44)/100+($K10*$I$42)/100</f>
        <v>349.06440000000009</v>
      </c>
      <c r="I106" s="65">
        <f>($J10*$J$44)/100+($K10*$J$42)/100</f>
        <v>2328.2520000000009</v>
      </c>
      <c r="J106" s="65">
        <f>($J10*$K$44)/100+($K10*$K$42)/100</f>
        <v>2677.2396000000008</v>
      </c>
      <c r="K106" s="65"/>
      <c r="L106" s="65">
        <f>(($J10*M$44)+($K10*M$42))/1000</f>
        <v>21199.920000000009</v>
      </c>
      <c r="M106" s="65"/>
      <c r="N106" s="65"/>
      <c r="O106" s="19"/>
      <c r="P106" s="19"/>
      <c r="Q106" s="19"/>
      <c r="R106" s="19"/>
      <c r="S106" s="19"/>
      <c r="T106" s="19"/>
    </row>
    <row r="107" spans="1:22" ht="12.75" customHeight="1" x14ac:dyDescent="0.45">
      <c r="A107" s="27" t="s">
        <v>22</v>
      </c>
      <c r="B107" s="29" t="s">
        <v>30</v>
      </c>
      <c r="C107" s="65">
        <f>L11</f>
        <v>4795.7868000000017</v>
      </c>
      <c r="D107" s="65"/>
      <c r="E107" s="65">
        <f>($J11*$F$44)/100+($K11*$F$42)/100</f>
        <v>562.48320000000012</v>
      </c>
      <c r="F107" s="65">
        <f>($J11*$G$46)/100+($K11*$G$42)/100</f>
        <v>244.48174427505685</v>
      </c>
      <c r="G107" s="65">
        <f>($J11*$H$44)/100+($K11*$H$42)/100</f>
        <v>1335.7584000000002</v>
      </c>
      <c r="H107" s="65">
        <f>($J11*$I$44)/100+($K11*$I$42)/100</f>
        <v>349.06440000000009</v>
      </c>
      <c r="I107" s="65">
        <f>($J11*$J$44)/100+($K11*$J$42)/100</f>
        <v>2328.2520000000009</v>
      </c>
      <c r="J107" s="65">
        <f>($J11*$K$44)/100+($K11*$K$42)/100</f>
        <v>2677.2396000000008</v>
      </c>
      <c r="K107" s="65"/>
      <c r="L107" s="65">
        <f>(($J11*M$44)+($K11*M$42))/1000</f>
        <v>21199.920000000009</v>
      </c>
      <c r="M107" s="65"/>
      <c r="N107" s="65"/>
      <c r="O107" s="65">
        <v>1300.8789884682401</v>
      </c>
      <c r="P107" s="19">
        <f>O107/1000</f>
        <v>1.3008789884682401</v>
      </c>
      <c r="Q107" s="65">
        <v>4377.8028000000013</v>
      </c>
      <c r="R107" s="20">
        <f>Q107/1000</f>
        <v>4.3778028000000013</v>
      </c>
      <c r="S107" s="65">
        <v>2328.2520000000009</v>
      </c>
      <c r="T107" s="18">
        <f>S107/1000</f>
        <v>2.3282520000000009</v>
      </c>
      <c r="U107" s="65">
        <v>1419.0508930235546</v>
      </c>
      <c r="V107" s="18">
        <f>U107/1000</f>
        <v>1.4190508930235546</v>
      </c>
    </row>
    <row r="108" spans="1:22" ht="12.75" customHeight="1" x14ac:dyDescent="0.45">
      <c r="A108" s="27" t="s">
        <v>20</v>
      </c>
      <c r="B108" s="29" t="s">
        <v>29</v>
      </c>
      <c r="C108" s="65">
        <f>L12</f>
        <v>4795.7868000000017</v>
      </c>
      <c r="D108" s="65"/>
      <c r="E108" s="65">
        <f>($J12*$F$44)/100+($K12*$F$42)/100</f>
        <v>562.48320000000012</v>
      </c>
      <c r="F108" s="65">
        <f>($J12*$G$46)/100+($K12*$G$42)/100</f>
        <v>244.48174427505685</v>
      </c>
      <c r="G108" s="65">
        <f>($J12*$H$44)/100+($K12*$H$42)/100</f>
        <v>1335.7584000000002</v>
      </c>
      <c r="H108" s="65">
        <f>($J12*$I$44)/100+($K12*$I$42)/100</f>
        <v>349.06440000000009</v>
      </c>
      <c r="I108" s="65">
        <f>($J12*$J$44)/100+($K12*$J$42)/100</f>
        <v>2328.2520000000009</v>
      </c>
      <c r="J108" s="65">
        <f>($J12*$K$44)/100+($K12*$K$42)/100</f>
        <v>2677.2396000000008</v>
      </c>
      <c r="K108" s="65"/>
      <c r="L108" s="65">
        <f>(($J12*M$44)+($K12*M$42))/1000</f>
        <v>21199.920000000009</v>
      </c>
      <c r="M108" s="65"/>
      <c r="N108" s="65"/>
      <c r="O108" s="49">
        <v>1358.9100000000005</v>
      </c>
      <c r="P108" s="19">
        <f>O108/1000</f>
        <v>1.3589100000000005</v>
      </c>
      <c r="Q108" s="49">
        <v>4348.7724000000017</v>
      </c>
      <c r="R108" s="20">
        <f>Q108/1000</f>
        <v>4.3487724000000014</v>
      </c>
      <c r="S108" s="49">
        <v>1410.7939800000004</v>
      </c>
      <c r="T108" s="18">
        <f>S108/1000</f>
        <v>1.4107939800000004</v>
      </c>
      <c r="U108" s="49">
        <v>1492.2348000000006</v>
      </c>
      <c r="V108" s="18">
        <f>U108/1000</f>
        <v>1.4922348000000005</v>
      </c>
    </row>
    <row r="109" spans="1:22" ht="12.75" customHeight="1" x14ac:dyDescent="0.45">
      <c r="B109" s="28" t="s">
        <v>119</v>
      </c>
      <c r="C109" s="22">
        <f t="shared" ref="C109:J109" si="36">AVERAGE(C103:C108)</f>
        <v>4586.7948000000015</v>
      </c>
      <c r="D109" s="22" t="e">
        <f t="shared" si="36"/>
        <v>#DIV/0!</v>
      </c>
      <c r="E109" s="22">
        <f t="shared" si="36"/>
        <v>540.82240000000013</v>
      </c>
      <c r="F109" s="22">
        <f t="shared" si="36"/>
        <v>233.77115848199813</v>
      </c>
      <c r="G109" s="22">
        <f t="shared" si="36"/>
        <v>1263.8992000000005</v>
      </c>
      <c r="H109" s="22">
        <f t="shared" si="36"/>
        <v>333.65320000000014</v>
      </c>
      <c r="I109" s="22">
        <f t="shared" si="36"/>
        <v>2237.5544000000004</v>
      </c>
      <c r="J109" s="22">
        <f t="shared" si="36"/>
        <v>2544.7436000000012</v>
      </c>
      <c r="K109" s="22"/>
      <c r="L109" s="22">
        <f>AVERAGE(L103:L106)</f>
        <v>19809.552000000011</v>
      </c>
      <c r="M109" s="22"/>
      <c r="N109" s="22"/>
      <c r="O109" s="49">
        <v>1397.5292000000002</v>
      </c>
      <c r="P109" s="19">
        <f>O109/1000</f>
        <v>1.3975292000000001</v>
      </c>
      <c r="Q109" s="49">
        <v>4370.2860000000001</v>
      </c>
      <c r="R109" s="20">
        <f>Q109/1000</f>
        <v>4.3702860000000001</v>
      </c>
      <c r="S109" s="49">
        <v>1507.3499142857149</v>
      </c>
      <c r="T109" s="18">
        <f>S109/1000</f>
        <v>1.507349914285715</v>
      </c>
      <c r="U109" s="49">
        <v>1535.6814000000002</v>
      </c>
      <c r="V109" s="18">
        <f>U109/1000</f>
        <v>1.5356814000000001</v>
      </c>
    </row>
    <row r="110" spans="1:22" ht="12.75" customHeight="1" x14ac:dyDescent="0.45">
      <c r="A110" s="27" t="s">
        <v>24</v>
      </c>
      <c r="B110" s="24" t="s">
        <v>28</v>
      </c>
      <c r="C110" s="49">
        <f t="shared" ref="C110:C115" si="37">L19</f>
        <v>4348.7724000000017</v>
      </c>
      <c r="D110" s="49"/>
      <c r="E110" s="65">
        <f t="shared" ref="E110:E115" si="38">($J19*$F$44)/100+($K19*$F$42)/100</f>
        <v>516.15276861736356</v>
      </c>
      <c r="F110" s="49">
        <f t="shared" ref="F110:F115" si="39">($J19*$G$42)/100+($K19*$G$46)/100</f>
        <v>218.71265553356423</v>
      </c>
      <c r="G110" s="49">
        <f t="shared" ref="G110:G115" si="40">($J19*$H$46)/100+($K19*$H$42)/100</f>
        <v>1108.8912000000005</v>
      </c>
      <c r="H110" s="49">
        <f t="shared" ref="H110:H115" si="41">($J19*$I$46)/100+($K19*$I$42)/100</f>
        <v>322.90120000000007</v>
      </c>
      <c r="I110" s="49">
        <f t="shared" ref="I110:I115" si="42">($J19*$J$46)/100+($K19*$J$42)/100</f>
        <v>2117.4680000000003</v>
      </c>
      <c r="J110" s="49">
        <f t="shared" ref="J110:J115" si="43">($J19*$K$46)/100+($K19*$K$42)/100</f>
        <v>2271.3964000000005</v>
      </c>
      <c r="K110" s="49"/>
      <c r="L110" s="49">
        <f t="shared" ref="L110:L115" si="44">(($J19*M$46)+($K19*M$42))/1000</f>
        <v>19460.784000000007</v>
      </c>
      <c r="M110" s="49"/>
      <c r="N110" s="49"/>
      <c r="O110" s="19"/>
      <c r="P110" s="19"/>
      <c r="Q110" s="19"/>
      <c r="R110" s="19"/>
      <c r="S110" s="19"/>
      <c r="T110" s="19"/>
    </row>
    <row r="111" spans="1:22" ht="12.75" customHeight="1" x14ac:dyDescent="0.45">
      <c r="A111" s="27" t="s">
        <v>23</v>
      </c>
      <c r="B111" s="24" t="s">
        <v>27</v>
      </c>
      <c r="C111" s="49">
        <f t="shared" si="37"/>
        <v>4348.7724000000017</v>
      </c>
      <c r="D111" s="49"/>
      <c r="E111" s="65">
        <f t="shared" si="38"/>
        <v>516.15276861736356</v>
      </c>
      <c r="F111" s="49">
        <f t="shared" si="39"/>
        <v>218.71265553356423</v>
      </c>
      <c r="G111" s="49">
        <f t="shared" si="40"/>
        <v>1108.8912000000005</v>
      </c>
      <c r="H111" s="49">
        <f t="shared" si="41"/>
        <v>322.90120000000007</v>
      </c>
      <c r="I111" s="49">
        <f t="shared" si="42"/>
        <v>2117.4680000000003</v>
      </c>
      <c r="J111" s="49">
        <f t="shared" si="43"/>
        <v>2271.3964000000005</v>
      </c>
      <c r="K111" s="49"/>
      <c r="L111" s="49">
        <f t="shared" si="44"/>
        <v>19460.784000000007</v>
      </c>
      <c r="M111" s="49"/>
      <c r="N111" s="49"/>
      <c r="O111" s="19"/>
      <c r="P111" s="19"/>
      <c r="Q111" s="19"/>
      <c r="R111" s="19"/>
      <c r="S111" s="19"/>
    </row>
    <row r="112" spans="1:22" ht="12.75" customHeight="1" x14ac:dyDescent="0.45">
      <c r="A112" s="18" t="s">
        <v>25</v>
      </c>
      <c r="B112" s="24" t="s">
        <v>26</v>
      </c>
      <c r="C112" s="49">
        <f t="shared" si="37"/>
        <v>4348.7724000000017</v>
      </c>
      <c r="D112" s="49"/>
      <c r="E112" s="65">
        <f t="shared" si="38"/>
        <v>516.15276861736356</v>
      </c>
      <c r="F112" s="49">
        <f t="shared" si="39"/>
        <v>218.71265553356423</v>
      </c>
      <c r="G112" s="49">
        <f t="shared" si="40"/>
        <v>1108.8912000000005</v>
      </c>
      <c r="H112" s="49">
        <f t="shared" si="41"/>
        <v>322.90120000000007</v>
      </c>
      <c r="I112" s="49">
        <f t="shared" si="42"/>
        <v>2117.4680000000003</v>
      </c>
      <c r="J112" s="49">
        <f t="shared" si="43"/>
        <v>2271.3964000000005</v>
      </c>
      <c r="K112" s="49"/>
      <c r="L112" s="49">
        <f t="shared" si="44"/>
        <v>19460.784000000007</v>
      </c>
      <c r="M112" s="49"/>
      <c r="N112" s="49"/>
      <c r="O112" s="19"/>
      <c r="P112" s="19"/>
      <c r="Q112" s="19"/>
      <c r="R112" s="19"/>
      <c r="S112" s="19"/>
    </row>
    <row r="113" spans="1:20" ht="12.75" customHeight="1" x14ac:dyDescent="0.45">
      <c r="A113" s="18" t="s">
        <v>20</v>
      </c>
      <c r="B113" s="24" t="s">
        <v>28</v>
      </c>
      <c r="C113" s="49">
        <f t="shared" si="37"/>
        <v>4763.1276000000016</v>
      </c>
      <c r="D113" s="49"/>
      <c r="E113" s="65">
        <f t="shared" si="38"/>
        <v>559.0982646945339</v>
      </c>
      <c r="F113" s="49">
        <f t="shared" si="39"/>
        <v>239.42827549018025</v>
      </c>
      <c r="G113" s="49">
        <f t="shared" si="40"/>
        <v>1242.2160000000006</v>
      </c>
      <c r="H113" s="49">
        <f t="shared" si="41"/>
        <v>354.3060000000001</v>
      </c>
      <c r="I113" s="49">
        <f t="shared" si="42"/>
        <v>2295.1896000000006</v>
      </c>
      <c r="J113" s="49">
        <f t="shared" si="43"/>
        <v>2518.7820000000006</v>
      </c>
      <c r="K113" s="49"/>
      <c r="L113" s="49">
        <f t="shared" si="44"/>
        <v>21328.944000000007</v>
      </c>
      <c r="M113" s="49"/>
      <c r="N113" s="49"/>
      <c r="O113" s="19"/>
      <c r="P113" s="19"/>
      <c r="Q113" s="19"/>
      <c r="R113" s="19"/>
      <c r="S113" s="19"/>
    </row>
    <row r="114" spans="1:20" ht="12.75" customHeight="1" x14ac:dyDescent="0.45">
      <c r="A114" s="18" t="s">
        <v>18</v>
      </c>
      <c r="B114" s="24" t="s">
        <v>27</v>
      </c>
      <c r="C114" s="49">
        <f t="shared" si="37"/>
        <v>4763.1276000000016</v>
      </c>
      <c r="D114" s="49"/>
      <c r="E114" s="65">
        <f t="shared" si="38"/>
        <v>559.0982646945339</v>
      </c>
      <c r="F114" s="49">
        <f t="shared" si="39"/>
        <v>239.42827549018025</v>
      </c>
      <c r="G114" s="49">
        <f t="shared" si="40"/>
        <v>1242.2160000000006</v>
      </c>
      <c r="H114" s="49">
        <f t="shared" si="41"/>
        <v>354.3060000000001</v>
      </c>
      <c r="I114" s="49">
        <f t="shared" si="42"/>
        <v>2295.1896000000006</v>
      </c>
      <c r="J114" s="49">
        <f t="shared" si="43"/>
        <v>2518.7820000000006</v>
      </c>
      <c r="K114" s="49"/>
      <c r="L114" s="49">
        <f t="shared" si="44"/>
        <v>21328.944000000007</v>
      </c>
      <c r="M114" s="49"/>
      <c r="N114" s="49"/>
      <c r="O114" s="19"/>
      <c r="P114" s="19"/>
      <c r="Q114" s="19"/>
      <c r="R114" s="19"/>
      <c r="S114" s="19"/>
    </row>
    <row r="115" spans="1:20" ht="12.75" customHeight="1" x14ac:dyDescent="0.45">
      <c r="A115" s="18" t="s">
        <v>22</v>
      </c>
      <c r="B115" s="24" t="s">
        <v>26</v>
      </c>
      <c r="C115" s="49">
        <f t="shared" si="37"/>
        <v>4763.1276000000016</v>
      </c>
      <c r="D115" s="49"/>
      <c r="E115" s="65">
        <f t="shared" si="38"/>
        <v>559.0982646945339</v>
      </c>
      <c r="F115" s="49">
        <f t="shared" si="39"/>
        <v>239.42827549018025</v>
      </c>
      <c r="G115" s="49">
        <f t="shared" si="40"/>
        <v>1242.2160000000006</v>
      </c>
      <c r="H115" s="49">
        <f t="shared" si="41"/>
        <v>354.3060000000001</v>
      </c>
      <c r="I115" s="49">
        <f t="shared" si="42"/>
        <v>2295.1896000000006</v>
      </c>
      <c r="J115" s="49">
        <f t="shared" si="43"/>
        <v>2518.7820000000006</v>
      </c>
      <c r="K115" s="49"/>
      <c r="L115" s="49">
        <f t="shared" si="44"/>
        <v>21328.944000000007</v>
      </c>
      <c r="M115" s="49"/>
      <c r="N115" s="49"/>
      <c r="O115" s="19"/>
      <c r="P115" s="19"/>
      <c r="Q115" s="19"/>
      <c r="R115" s="19"/>
      <c r="S115" s="19"/>
    </row>
    <row r="116" spans="1:20" ht="12.75" customHeight="1" x14ac:dyDescent="0.45">
      <c r="B116" s="130" t="s">
        <v>119</v>
      </c>
      <c r="C116" s="62">
        <f t="shared" ref="C116:J116" si="45">AVERAGE(C110:C115)</f>
        <v>4555.9500000000007</v>
      </c>
      <c r="D116" s="62" t="e">
        <f t="shared" si="45"/>
        <v>#DIV/0!</v>
      </c>
      <c r="E116" s="62">
        <f t="shared" si="45"/>
        <v>537.62551665594879</v>
      </c>
      <c r="F116" s="62">
        <f t="shared" si="45"/>
        <v>229.07046551187227</v>
      </c>
      <c r="G116" s="62">
        <f t="shared" si="45"/>
        <v>1175.5536000000004</v>
      </c>
      <c r="H116" s="62">
        <f t="shared" si="45"/>
        <v>338.60360000000009</v>
      </c>
      <c r="I116" s="62">
        <f t="shared" si="45"/>
        <v>2206.3288000000007</v>
      </c>
      <c r="J116" s="62">
        <f t="shared" si="45"/>
        <v>2395.0892000000008</v>
      </c>
      <c r="K116" s="62"/>
      <c r="L116" s="62">
        <f>AVERAGE(L110:L113)</f>
        <v>19927.824000000008</v>
      </c>
      <c r="M116" s="62"/>
      <c r="N116" s="62"/>
      <c r="O116" s="19"/>
      <c r="P116" s="19"/>
      <c r="Q116" s="19"/>
      <c r="R116" s="19"/>
      <c r="S116" s="19"/>
    </row>
    <row r="117" spans="1:20" ht="12.75" customHeight="1" x14ac:dyDescent="0.45">
      <c r="A117" s="18" t="s">
        <v>25</v>
      </c>
      <c r="B117" s="24" t="s">
        <v>21</v>
      </c>
      <c r="C117" s="49">
        <f t="shared" ref="C117:C122" si="46">L28</f>
        <v>4370.2860000000001</v>
      </c>
      <c r="D117" s="49"/>
      <c r="E117" s="65">
        <f t="shared" ref="E117:E122" si="47">($J28*$F$44)/100+($K28*$F$42)/100</f>
        <v>518.38252758842452</v>
      </c>
      <c r="F117" s="49">
        <f>($J28*$G$48)/100+($K28*$G$42)/100</f>
        <v>210.40960000000004</v>
      </c>
      <c r="G117" s="49">
        <f t="shared" ref="G117:G122" si="48">($J28*$H$48)/100+($K28*$H$42)/100</f>
        <v>1147.5104000000001</v>
      </c>
      <c r="H117" s="49">
        <f t="shared" ref="H117:H122" si="49">($J28*$I$48)/100+($K28*$I$42)/100</f>
        <v>304.11080000000004</v>
      </c>
      <c r="I117" s="49">
        <f t="shared" ref="I117:I122" si="50">($J28*$J$48)/100+($K28*$J$42)/100</f>
        <v>2137.9624000000003</v>
      </c>
      <c r="J117" s="49">
        <f t="shared" ref="J117:J122" si="51">($J28*$K$48)/100+($K28*$K$42)/100</f>
        <v>2303.7132000000001</v>
      </c>
      <c r="K117" s="49"/>
      <c r="L117" s="49">
        <f t="shared" ref="L117:L122" si="52">(($J28*M$48)+($K28*M$42))/1000</f>
        <v>19857.072</v>
      </c>
      <c r="M117" s="49"/>
      <c r="N117" s="49"/>
      <c r="O117" s="19"/>
      <c r="P117" s="19"/>
      <c r="Q117" s="19"/>
      <c r="R117" s="66"/>
      <c r="S117" s="47"/>
    </row>
    <row r="118" spans="1:20" ht="12.75" customHeight="1" x14ac:dyDescent="0.45">
      <c r="A118" s="18" t="s">
        <v>24</v>
      </c>
      <c r="B118" s="24" t="s">
        <v>19</v>
      </c>
      <c r="C118" s="49">
        <f t="shared" si="46"/>
        <v>4370.2860000000001</v>
      </c>
      <c r="D118" s="49"/>
      <c r="E118" s="65">
        <f t="shared" si="47"/>
        <v>518.38252758842452</v>
      </c>
      <c r="F118" s="49">
        <f>($J29*$G$48)/100+($K29*$G$42)/100</f>
        <v>210.40960000000004</v>
      </c>
      <c r="G118" s="49">
        <f t="shared" si="48"/>
        <v>1147.5104000000001</v>
      </c>
      <c r="H118" s="49">
        <f t="shared" si="49"/>
        <v>304.11080000000004</v>
      </c>
      <c r="I118" s="49">
        <f t="shared" si="50"/>
        <v>2137.9624000000003</v>
      </c>
      <c r="J118" s="49">
        <f t="shared" si="51"/>
        <v>2303.7132000000001</v>
      </c>
      <c r="K118" s="49"/>
      <c r="L118" s="49">
        <f t="shared" si="52"/>
        <v>19857.072</v>
      </c>
      <c r="M118" s="49"/>
      <c r="N118" s="49"/>
      <c r="O118" s="19"/>
      <c r="P118" s="19"/>
      <c r="Q118" s="19"/>
      <c r="R118" s="19"/>
      <c r="S118" s="19"/>
    </row>
    <row r="119" spans="1:20" ht="12.75" customHeight="1" x14ac:dyDescent="0.45">
      <c r="A119" s="18" t="s">
        <v>23</v>
      </c>
      <c r="B119" s="24" t="s">
        <v>17</v>
      </c>
      <c r="C119" s="49">
        <f t="shared" si="46"/>
        <v>4370.2860000000001</v>
      </c>
      <c r="D119" s="49"/>
      <c r="E119" s="65">
        <f t="shared" si="47"/>
        <v>518.38252758842452</v>
      </c>
      <c r="F119" s="49">
        <f>($J30*$G$48)/100+($K30*$G$42)/100</f>
        <v>210.40960000000004</v>
      </c>
      <c r="G119" s="49">
        <f t="shared" si="48"/>
        <v>1147.5104000000001</v>
      </c>
      <c r="H119" s="49">
        <f t="shared" si="49"/>
        <v>304.11080000000004</v>
      </c>
      <c r="I119" s="49">
        <f t="shared" si="50"/>
        <v>2137.9624000000003</v>
      </c>
      <c r="J119" s="49">
        <f t="shared" si="51"/>
        <v>2303.7132000000001</v>
      </c>
      <c r="K119" s="49"/>
      <c r="L119" s="49">
        <f t="shared" si="52"/>
        <v>19857.072</v>
      </c>
      <c r="M119" s="49"/>
      <c r="N119" s="49"/>
      <c r="O119" s="19"/>
      <c r="P119" s="19"/>
      <c r="Q119" s="19"/>
      <c r="R119" s="19"/>
      <c r="S119" s="19"/>
    </row>
    <row r="120" spans="1:20" ht="12.75" customHeight="1" x14ac:dyDescent="0.45">
      <c r="A120" s="18" t="s">
        <v>22</v>
      </c>
      <c r="B120" s="24" t="s">
        <v>21</v>
      </c>
      <c r="C120" s="49">
        <f t="shared" si="46"/>
        <v>4787.3304000000007</v>
      </c>
      <c r="D120" s="49"/>
      <c r="E120" s="65">
        <f t="shared" si="47"/>
        <v>561.60674353697755</v>
      </c>
      <c r="F120" s="49">
        <f>($J31*$G$48)/100+($K31*$G$42)/100</f>
        <v>230.24940000000001</v>
      </c>
      <c r="G120" s="49">
        <f t="shared" si="48"/>
        <v>1285.6626000000001</v>
      </c>
      <c r="H120" s="49">
        <f t="shared" si="49"/>
        <v>333.16680000000008</v>
      </c>
      <c r="I120" s="49">
        <f t="shared" si="50"/>
        <v>2318.2458000000006</v>
      </c>
      <c r="J120" s="49">
        <f t="shared" si="51"/>
        <v>2555.1384000000003</v>
      </c>
      <c r="K120" s="49"/>
      <c r="L120" s="49">
        <f t="shared" si="52"/>
        <v>21774.768</v>
      </c>
      <c r="M120" s="49"/>
      <c r="N120" s="49"/>
      <c r="O120" s="19"/>
      <c r="P120" s="19"/>
      <c r="Q120" s="19"/>
      <c r="R120" s="19"/>
      <c r="S120" s="19"/>
    </row>
    <row r="121" spans="1:20" ht="12.75" customHeight="1" x14ac:dyDescent="0.45">
      <c r="A121" s="18" t="s">
        <v>20</v>
      </c>
      <c r="B121" s="24" t="s">
        <v>19</v>
      </c>
      <c r="C121" s="49">
        <f t="shared" si="46"/>
        <v>4787.3304000000007</v>
      </c>
      <c r="D121" s="49"/>
      <c r="E121" s="65">
        <f t="shared" si="47"/>
        <v>561.60674353697755</v>
      </c>
      <c r="F121" s="49">
        <f>($J32*$G$48)/100+($K32*$G$42)/100</f>
        <v>230.24940000000001</v>
      </c>
      <c r="G121" s="49">
        <f t="shared" si="48"/>
        <v>1285.6626000000001</v>
      </c>
      <c r="H121" s="49">
        <f t="shared" si="49"/>
        <v>333.16680000000008</v>
      </c>
      <c r="I121" s="49">
        <f t="shared" si="50"/>
        <v>2318.2458000000006</v>
      </c>
      <c r="J121" s="49">
        <f t="shared" si="51"/>
        <v>2555.1384000000003</v>
      </c>
      <c r="K121" s="49"/>
      <c r="L121" s="49">
        <f t="shared" si="52"/>
        <v>21774.768</v>
      </c>
      <c r="M121" s="49"/>
      <c r="N121" s="49"/>
      <c r="O121" s="19"/>
      <c r="P121" s="19"/>
      <c r="Q121" s="19"/>
      <c r="R121" s="19"/>
      <c r="S121" s="19"/>
    </row>
    <row r="122" spans="1:20" ht="12.75" customHeight="1" x14ac:dyDescent="0.45">
      <c r="A122" s="18" t="s">
        <v>18</v>
      </c>
      <c r="B122" s="24" t="s">
        <v>17</v>
      </c>
      <c r="C122" s="49">
        <f t="shared" si="46"/>
        <v>4787.3304000000007</v>
      </c>
      <c r="D122" s="49"/>
      <c r="E122" s="65">
        <f t="shared" si="47"/>
        <v>561.60674353697755</v>
      </c>
      <c r="F122" s="49">
        <f>($J29*$G$48)/100+($K29*$G$42)/100</f>
        <v>210.40960000000004</v>
      </c>
      <c r="G122" s="49">
        <f t="shared" si="48"/>
        <v>1285.6626000000001</v>
      </c>
      <c r="H122" s="49">
        <f t="shared" si="49"/>
        <v>333.16680000000008</v>
      </c>
      <c r="I122" s="49">
        <f t="shared" si="50"/>
        <v>2318.2458000000006</v>
      </c>
      <c r="J122" s="49">
        <f t="shared" si="51"/>
        <v>2555.1384000000003</v>
      </c>
      <c r="K122" s="49"/>
      <c r="L122" s="49">
        <f t="shared" si="52"/>
        <v>21774.768</v>
      </c>
      <c r="M122" s="49"/>
      <c r="N122" s="49"/>
      <c r="O122" s="19"/>
      <c r="P122" s="19"/>
      <c r="Q122" s="19"/>
      <c r="R122" s="19"/>
      <c r="S122" s="19"/>
    </row>
    <row r="123" spans="1:20" ht="12.75" customHeight="1" x14ac:dyDescent="0.45">
      <c r="B123" s="130" t="s">
        <v>119</v>
      </c>
      <c r="C123" s="62">
        <f t="shared" ref="C123:J123" si="53">AVERAGE(C117:C122)</f>
        <v>4578.8081999999995</v>
      </c>
      <c r="D123" s="62" t="e">
        <f t="shared" si="53"/>
        <v>#DIV/0!</v>
      </c>
      <c r="E123" s="62">
        <f t="shared" si="53"/>
        <v>539.99463556270109</v>
      </c>
      <c r="F123" s="62">
        <f t="shared" si="53"/>
        <v>217.02286666666669</v>
      </c>
      <c r="G123" s="62">
        <f t="shared" si="53"/>
        <v>1216.5865000000001</v>
      </c>
      <c r="H123" s="62">
        <f t="shared" si="53"/>
        <v>318.6388</v>
      </c>
      <c r="I123" s="62">
        <f t="shared" si="53"/>
        <v>2228.1041000000005</v>
      </c>
      <c r="J123" s="62">
        <f t="shared" si="53"/>
        <v>2429.4258</v>
      </c>
      <c r="K123" s="62"/>
      <c r="L123" s="62">
        <f>AVERAGE(L117:L120)</f>
        <v>20336.495999999999</v>
      </c>
      <c r="M123" s="62"/>
      <c r="N123" s="62"/>
      <c r="O123" s="19"/>
      <c r="P123" s="19"/>
      <c r="Q123" s="19"/>
      <c r="R123" s="19"/>
      <c r="S123" s="19"/>
    </row>
    <row r="124" spans="1:20" ht="12.75" customHeight="1" x14ac:dyDescent="0.45">
      <c r="M124" s="18">
        <f>N105*6.25</f>
        <v>0</v>
      </c>
      <c r="O124" s="19"/>
      <c r="P124" s="19"/>
      <c r="Q124" s="19"/>
      <c r="R124" s="19"/>
    </row>
    <row r="125" spans="1:20" ht="12.75" customHeight="1" x14ac:dyDescent="0.45">
      <c r="B125" s="52" t="s">
        <v>125</v>
      </c>
      <c r="C125" s="51"/>
      <c r="D125" s="50"/>
      <c r="E125" s="50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</row>
    <row r="126" spans="1:20" ht="12.75" customHeight="1" x14ac:dyDescent="0.45">
      <c r="B126" s="152" t="s">
        <v>60</v>
      </c>
      <c r="C126" s="145" t="s">
        <v>123</v>
      </c>
      <c r="D126" s="146"/>
      <c r="E126" s="146"/>
      <c r="F126" s="146"/>
      <c r="G126" s="146"/>
      <c r="H126" s="146"/>
      <c r="I126" s="146"/>
      <c r="J126" s="146"/>
      <c r="K126" s="146"/>
      <c r="L126" s="146"/>
      <c r="M126" s="147"/>
      <c r="N126" s="150" t="s">
        <v>124</v>
      </c>
      <c r="O126" s="151"/>
      <c r="P126" s="151"/>
      <c r="Q126" s="151"/>
      <c r="R126" s="151"/>
    </row>
    <row r="127" spans="1:20" ht="12.75" customHeight="1" x14ac:dyDescent="0.45">
      <c r="B127" s="133"/>
      <c r="C127" s="31" t="s">
        <v>85</v>
      </c>
      <c r="D127" s="31"/>
      <c r="E127" s="31"/>
      <c r="F127" s="31" t="s">
        <v>112</v>
      </c>
      <c r="G127" s="31" t="s">
        <v>108</v>
      </c>
      <c r="H127" s="31" t="s">
        <v>109</v>
      </c>
      <c r="I127" s="31" t="s">
        <v>122</v>
      </c>
      <c r="J127" s="31" t="s">
        <v>72</v>
      </c>
      <c r="K127" s="31" t="s">
        <v>71</v>
      </c>
      <c r="L127" s="31" t="s">
        <v>70</v>
      </c>
      <c r="M127" s="31" t="s">
        <v>76</v>
      </c>
      <c r="N127" s="31"/>
      <c r="O127" s="31"/>
      <c r="P127" s="31"/>
      <c r="Q127" s="31" t="s">
        <v>75</v>
      </c>
      <c r="R127" s="31" t="s">
        <v>74</v>
      </c>
      <c r="S127" s="19"/>
      <c r="T127" s="19"/>
    </row>
    <row r="128" spans="1:20" ht="12.75" customHeight="1" x14ac:dyDescent="0.45">
      <c r="A128" s="18" t="s">
        <v>23</v>
      </c>
      <c r="B128" s="29" t="s">
        <v>31</v>
      </c>
      <c r="C128" s="63">
        <f>(M5*(100-$C$61)/100)*((100-$D$61)/100)</f>
        <v>1339.0913736763234</v>
      </c>
      <c r="D128" s="21"/>
      <c r="E128" s="21"/>
      <c r="F128" s="21">
        <f t="shared" ref="F128:K128" si="54">$C128*(E$62/100)</f>
        <v>157.29654680365309</v>
      </c>
      <c r="G128" s="21">
        <f t="shared" si="54"/>
        <v>38.79320776255711</v>
      </c>
      <c r="H128" s="21">
        <f t="shared" si="54"/>
        <v>364.14646118721481</v>
      </c>
      <c r="I128" s="21">
        <f t="shared" si="54"/>
        <v>164.65876141552522</v>
      </c>
      <c r="J128" s="21">
        <f t="shared" si="54"/>
        <v>690.91552511415568</v>
      </c>
      <c r="K128" s="21">
        <f t="shared" si="54"/>
        <v>756.3259703196353</v>
      </c>
      <c r="L128" s="21"/>
      <c r="M128" s="21">
        <f>$C128*(L$62/1000)</f>
        <v>6020.0262557077667</v>
      </c>
      <c r="N128" s="21"/>
      <c r="O128" s="21"/>
      <c r="P128" s="21"/>
      <c r="Q128" s="21">
        <f>$O5*(P$61/100)</f>
        <v>54.193999999999996</v>
      </c>
      <c r="R128" s="21">
        <f>$O5*(Q$61/1000)</f>
        <v>2388.96</v>
      </c>
      <c r="S128" s="19"/>
      <c r="T128" s="19"/>
    </row>
    <row r="129" spans="1:20" ht="12.75" customHeight="1" x14ac:dyDescent="0.45">
      <c r="A129" s="18" t="s">
        <v>25</v>
      </c>
      <c r="B129" s="29" t="s">
        <v>30</v>
      </c>
      <c r="C129" s="63">
        <f>(M6*(100-$C$63)/100)*((100-$D$63)/100)</f>
        <v>1855.4794197901385</v>
      </c>
      <c r="D129" s="21"/>
      <c r="E129" s="21"/>
      <c r="F129" s="21">
        <f t="shared" ref="F129:K129" si="55">$C129*(E$64/100)</f>
        <v>217.91936343115128</v>
      </c>
      <c r="G129" s="21">
        <f t="shared" si="55"/>
        <v>35.57470428893906</v>
      </c>
      <c r="H129" s="21">
        <f t="shared" si="55"/>
        <v>467.91427990970675</v>
      </c>
      <c r="I129" s="21">
        <f t="shared" si="55"/>
        <v>88.450767494356668</v>
      </c>
      <c r="J129" s="21">
        <f t="shared" si="55"/>
        <v>1134.1137968397295</v>
      </c>
      <c r="K129" s="21">
        <f t="shared" si="55"/>
        <v>1002.5068306997746</v>
      </c>
      <c r="L129" s="21"/>
      <c r="M129" s="21">
        <f>$C129*(L$64/1000)</f>
        <v>8345.4266514167575</v>
      </c>
      <c r="N129" s="21"/>
      <c r="O129" s="21"/>
      <c r="P129" s="21"/>
      <c r="Q129" s="21">
        <f>$O6*(P$63/100)</f>
        <v>45.920250000000003</v>
      </c>
      <c r="R129" s="21">
        <f>$O6*(Q$63/1000)</f>
        <v>2330.0275000000001</v>
      </c>
      <c r="S129" s="19"/>
      <c r="T129" s="19"/>
    </row>
    <row r="130" spans="1:20" ht="12.75" customHeight="1" x14ac:dyDescent="0.45">
      <c r="A130" s="18" t="s">
        <v>24</v>
      </c>
      <c r="B130" s="29" t="s">
        <v>29</v>
      </c>
      <c r="C130" s="63">
        <f>(M7*(100-$C$61)/100)*((100-$D$61)/100)</f>
        <v>1521.3978267666255</v>
      </c>
      <c r="D130" s="21"/>
      <c r="E130" s="21"/>
      <c r="F130" s="21">
        <f t="shared" ref="F130:K130" si="56">$C130*(E$66/100)</f>
        <v>178.18835960792134</v>
      </c>
      <c r="G130" s="21">
        <f t="shared" si="56"/>
        <v>84.254691853790035</v>
      </c>
      <c r="H130" s="21">
        <f t="shared" si="56"/>
        <v>407.78636170290093</v>
      </c>
      <c r="I130" s="21">
        <f t="shared" si="56"/>
        <v>207.70130251715852</v>
      </c>
      <c r="J130" s="21">
        <f t="shared" si="56"/>
        <v>708.78664502990614</v>
      </c>
      <c r="K130" s="21">
        <f t="shared" si="56"/>
        <v>860.63549645001353</v>
      </c>
      <c r="L130" s="21"/>
      <c r="M130" s="21">
        <f>$C130*(L$66/1000)</f>
        <v>6592.8106337570171</v>
      </c>
      <c r="N130" s="21"/>
      <c r="O130" s="21"/>
      <c r="P130" s="21"/>
      <c r="Q130" s="21">
        <f>$O7*(P$65/100)</f>
        <v>34.430999999999997</v>
      </c>
      <c r="R130" s="21">
        <f>$O7*(Q$65/1000)</f>
        <v>1504.4850000000001</v>
      </c>
      <c r="S130" s="19"/>
      <c r="T130" s="19"/>
    </row>
    <row r="131" spans="1:20" ht="12.75" customHeight="1" x14ac:dyDescent="0.45">
      <c r="A131" s="27" t="s">
        <v>18</v>
      </c>
      <c r="B131" s="29" t="s">
        <v>31</v>
      </c>
      <c r="C131" s="63">
        <f>(M10*(100-$C$61)/100)*((100-$D$61)/100)</f>
        <v>1076.0237556991121</v>
      </c>
      <c r="D131" s="21"/>
      <c r="E131" s="21"/>
      <c r="F131" s="21">
        <f t="shared" ref="F131:K131" si="57">$C131*(E$68/100)</f>
        <v>112.96885520891379</v>
      </c>
      <c r="G131" s="21">
        <f t="shared" si="57"/>
        <v>27.819847693521147</v>
      </c>
      <c r="H131" s="21">
        <f t="shared" si="57"/>
        <v>301.17519324888883</v>
      </c>
      <c r="I131" s="21">
        <f t="shared" si="57"/>
        <v>134.14347612544003</v>
      </c>
      <c r="J131" s="21">
        <f t="shared" si="57"/>
        <v>550.20225094271586</v>
      </c>
      <c r="K131" s="21">
        <f t="shared" si="57"/>
        <v>631.52180573916223</v>
      </c>
      <c r="L131" s="21"/>
      <c r="M131" s="21">
        <f>$C131*(L$68/1000)</f>
        <v>4781.1843505666911</v>
      </c>
      <c r="N131" s="21"/>
      <c r="O131" s="21"/>
      <c r="P131" s="21"/>
      <c r="Q131" s="21">
        <f>$O10*(P$67/100)</f>
        <v>75.382986000000002</v>
      </c>
      <c r="R131" s="21">
        <f>$O10*(Q$67/1000)</f>
        <v>3105.0610900000001</v>
      </c>
      <c r="S131" s="19"/>
      <c r="T131" s="19"/>
    </row>
    <row r="132" spans="1:20" ht="12.75" customHeight="1" x14ac:dyDescent="0.45">
      <c r="A132" s="27" t="s">
        <v>22</v>
      </c>
      <c r="B132" s="29" t="s">
        <v>30</v>
      </c>
      <c r="C132" s="63">
        <f>(M11*(100-$C$61)/100)*((100-$D$61)/100)</f>
        <v>1450.7318074905802</v>
      </c>
      <c r="D132" s="21"/>
      <c r="E132" s="21"/>
      <c r="F132" s="21">
        <f t="shared" ref="F132:K132" si="58">$C132*(E$70/100)</f>
        <v>157.02346198530986</v>
      </c>
      <c r="G132" s="21">
        <f t="shared" si="58"/>
        <v>34.256846099460496</v>
      </c>
      <c r="H132" s="21">
        <f t="shared" si="58"/>
        <v>406.43190259178925</v>
      </c>
      <c r="I132" s="21">
        <f t="shared" si="58"/>
        <v>173.60935579817081</v>
      </c>
      <c r="J132" s="21">
        <f t="shared" si="58"/>
        <v>778.76196743750904</v>
      </c>
      <c r="K132" s="21">
        <f t="shared" si="58"/>
        <v>835.02999971852353</v>
      </c>
      <c r="L132" s="21"/>
      <c r="M132" s="21">
        <f>$C132*(L$70/1000)</f>
        <v>6510.3508424314068</v>
      </c>
      <c r="N132" s="21"/>
      <c r="O132" s="21"/>
      <c r="P132" s="21"/>
      <c r="Q132" s="21">
        <f>$O11*(P$69/100)</f>
        <v>57.759</v>
      </c>
      <c r="R132" s="21">
        <f>$O11*(Q$69/1000)</f>
        <v>3021.2400000000002</v>
      </c>
    </row>
    <row r="133" spans="1:20" ht="12.75" customHeight="1" x14ac:dyDescent="0.45">
      <c r="A133" s="27" t="s">
        <v>20</v>
      </c>
      <c r="B133" s="29" t="s">
        <v>29</v>
      </c>
      <c r="C133" s="63">
        <f>(M12*(100-$C$61)/100)*((100-$D$61)/100)</f>
        <v>1074.8360915095986</v>
      </c>
      <c r="D133" s="21"/>
      <c r="E133" s="21"/>
      <c r="F133" s="21">
        <f t="shared" ref="F133:K133" si="59">$C133*(E$72/100)</f>
        <v>132.40957515341984</v>
      </c>
      <c r="G133" s="21">
        <f t="shared" si="59"/>
        <v>37.047818576316118</v>
      </c>
      <c r="H133" s="21">
        <f t="shared" si="59"/>
        <v>268.28888558135867</v>
      </c>
      <c r="I133" s="21">
        <f t="shared" si="59"/>
        <v>139.12519181377925</v>
      </c>
      <c r="J133" s="21">
        <f t="shared" si="59"/>
        <v>542.3979722683622</v>
      </c>
      <c r="K133" s="21">
        <f t="shared" si="59"/>
        <v>577.99074056826714</v>
      </c>
      <c r="L133" s="21"/>
      <c r="M133" s="21">
        <f>$C133*(L$72/1000)</f>
        <v>4740.1060927703556</v>
      </c>
      <c r="N133" s="21"/>
      <c r="O133" s="21"/>
      <c r="P133" s="21"/>
      <c r="Q133" s="21">
        <f>$O12*(P$71/100)</f>
        <v>49.64</v>
      </c>
      <c r="R133" s="21">
        <f>$O12*(Q$71/1000)</f>
        <v>1325.68</v>
      </c>
      <c r="S133" s="19"/>
      <c r="T133" s="19"/>
    </row>
    <row r="134" spans="1:20" ht="12.75" customHeight="1" x14ac:dyDescent="0.45">
      <c r="B134" s="131" t="s">
        <v>119</v>
      </c>
      <c r="C134" s="22">
        <f>AVERAGE(C128:C133)</f>
        <v>1386.2600458220631</v>
      </c>
      <c r="D134" s="22"/>
      <c r="E134" s="22"/>
      <c r="F134" s="22">
        <f t="shared" ref="F134:M134" si="60">AVERAGE(F128:F133)</f>
        <v>159.30102703172821</v>
      </c>
      <c r="G134" s="22">
        <f t="shared" si="60"/>
        <v>42.957852712430658</v>
      </c>
      <c r="H134" s="22">
        <f t="shared" si="60"/>
        <v>369.2905140369765</v>
      </c>
      <c r="I134" s="22">
        <f t="shared" si="60"/>
        <v>151.28147586073842</v>
      </c>
      <c r="J134" s="22">
        <f t="shared" si="60"/>
        <v>734.19635960539654</v>
      </c>
      <c r="K134" s="22">
        <f t="shared" si="60"/>
        <v>777.33514058256276</v>
      </c>
      <c r="L134" s="22" t="e">
        <f t="shared" si="60"/>
        <v>#DIV/0!</v>
      </c>
      <c r="M134" s="22">
        <f t="shared" si="60"/>
        <v>6164.984137774999</v>
      </c>
      <c r="N134" s="22"/>
      <c r="O134" s="22"/>
      <c r="P134" s="21"/>
      <c r="Q134" s="21"/>
      <c r="R134" s="21"/>
      <c r="S134" s="19"/>
      <c r="T134" s="19"/>
    </row>
    <row r="135" spans="1:20" ht="12.75" customHeight="1" x14ac:dyDescent="0.45">
      <c r="A135" s="27" t="s">
        <v>24</v>
      </c>
      <c r="B135" s="24" t="s">
        <v>28</v>
      </c>
      <c r="C135" s="25">
        <f t="shared" ref="C135:C140" si="61">(M19*(100-$C$61)/100)*((100-$D$61)/100)</f>
        <v>937.06704552604799</v>
      </c>
      <c r="D135" s="25"/>
      <c r="E135" s="25"/>
      <c r="F135" s="25">
        <f t="shared" ref="F135:K135" si="62">$C135*(E$74/100)</f>
        <v>107.20047000817989</v>
      </c>
      <c r="G135" s="25">
        <f t="shared" si="62"/>
        <v>30.360972275043959</v>
      </c>
      <c r="H135" s="25">
        <f t="shared" si="62"/>
        <v>234.07934797240679</v>
      </c>
      <c r="I135" s="25">
        <f t="shared" si="62"/>
        <v>115.3529533042565</v>
      </c>
      <c r="J135" s="25">
        <f t="shared" si="62"/>
        <v>450.07330196616084</v>
      </c>
      <c r="K135" s="25">
        <f t="shared" si="62"/>
        <v>507.70292526601276</v>
      </c>
      <c r="L135" s="25"/>
      <c r="M135" s="25">
        <f>$C135*(L$74/1000)</f>
        <v>4082.8011173569912</v>
      </c>
      <c r="N135" s="25"/>
      <c r="O135" s="25"/>
      <c r="P135" s="25"/>
      <c r="Q135" s="25">
        <f>$O19*(P$74/100)</f>
        <v>45.230500000000006</v>
      </c>
      <c r="R135" s="25">
        <f>$O19*(Q$74/1000)</f>
        <v>4490.7425000000003</v>
      </c>
      <c r="S135" s="19"/>
      <c r="T135" s="19"/>
    </row>
    <row r="136" spans="1:20" ht="12.75" customHeight="1" x14ac:dyDescent="0.45">
      <c r="A136" s="27" t="s">
        <v>23</v>
      </c>
      <c r="B136" s="24" t="s">
        <v>27</v>
      </c>
      <c r="C136" s="25">
        <f t="shared" si="61"/>
        <v>1263.6746976422246</v>
      </c>
      <c r="D136" s="25"/>
      <c r="E136" s="25"/>
      <c r="F136" s="25">
        <f t="shared" ref="F136:K136" si="63">$C136*(E$77/100)</f>
        <v>158.52741605708465</v>
      </c>
      <c r="G136" s="25">
        <f t="shared" si="63"/>
        <v>36.624377740001009</v>
      </c>
      <c r="H136" s="25">
        <f t="shared" si="63"/>
        <v>316.78750088978978</v>
      </c>
      <c r="I136" s="25">
        <f t="shared" si="63"/>
        <v>156.25510064985832</v>
      </c>
      <c r="J136" s="25">
        <f t="shared" si="63"/>
        <v>668.46172656111344</v>
      </c>
      <c r="K136" s="25">
        <f t="shared" si="63"/>
        <v>685.43725930921596</v>
      </c>
      <c r="L136" s="25"/>
      <c r="M136" s="25">
        <f>$C136*(L$77/1000)</f>
        <v>5940.9470108801015</v>
      </c>
      <c r="N136" s="25"/>
      <c r="O136" s="25"/>
      <c r="P136" s="25"/>
      <c r="Q136" s="25">
        <f>$O20*(P$76/100)</f>
        <v>56.224999999999994</v>
      </c>
      <c r="R136" s="25">
        <f>$O20*(Q$76/1000)</f>
        <v>2108.4375</v>
      </c>
      <c r="S136" s="19"/>
      <c r="T136" s="19"/>
    </row>
    <row r="137" spans="1:20" ht="12.75" customHeight="1" x14ac:dyDescent="0.45">
      <c r="A137" s="18" t="s">
        <v>25</v>
      </c>
      <c r="B137" s="24" t="s">
        <v>26</v>
      </c>
      <c r="C137" s="25">
        <f t="shared" si="61"/>
        <v>1446.5749828272831</v>
      </c>
      <c r="D137" s="25"/>
      <c r="E137" s="25"/>
      <c r="F137" s="25">
        <f t="shared" ref="F137:K137" si="64">$C137*(E$79/100)</f>
        <v>177.84610147053721</v>
      </c>
      <c r="G137" s="25">
        <f t="shared" si="64"/>
        <v>33.919903867521533</v>
      </c>
      <c r="H137" s="25">
        <f t="shared" si="64"/>
        <v>403.77133273494672</v>
      </c>
      <c r="I137" s="25">
        <f t="shared" si="64"/>
        <v>162.75330020838317</v>
      </c>
      <c r="J137" s="25">
        <f t="shared" si="64"/>
        <v>777.66825472418634</v>
      </c>
      <c r="K137" s="25">
        <f t="shared" si="64"/>
        <v>854.99941170656359</v>
      </c>
      <c r="L137" s="25"/>
      <c r="M137" s="25">
        <f>$C137*(L$79/1000)</f>
        <v>6500.7962549772928</v>
      </c>
      <c r="N137" s="25"/>
      <c r="O137" s="25"/>
      <c r="P137" s="25"/>
      <c r="Q137" s="25">
        <f>$O21*(P$78/100)</f>
        <v>58.66932400000001</v>
      </c>
      <c r="R137" s="25">
        <f>$O21*(Q$78/1000)</f>
        <v>3038.2328499999999</v>
      </c>
      <c r="S137" s="19"/>
      <c r="T137" s="19"/>
    </row>
    <row r="138" spans="1:20" ht="12.75" customHeight="1" x14ac:dyDescent="0.45">
      <c r="A138" s="18" t="s">
        <v>20</v>
      </c>
      <c r="B138" s="24" t="s">
        <v>28</v>
      </c>
      <c r="C138" s="25">
        <f t="shared" si="61"/>
        <v>970.3216428324223</v>
      </c>
      <c r="D138" s="25"/>
      <c r="E138" s="25"/>
      <c r="F138" s="25">
        <f t="shared" ref="F138:K138" si="65">$C138*(E$81/100)</f>
        <v>117.18402652696248</v>
      </c>
      <c r="G138" s="25">
        <f t="shared" si="65"/>
        <v>27.585098787119648</v>
      </c>
      <c r="H138" s="25">
        <f t="shared" si="65"/>
        <v>244.58085680335475</v>
      </c>
      <c r="I138" s="25">
        <f t="shared" si="65"/>
        <v>126.65982382024782</v>
      </c>
      <c r="J138" s="25">
        <f t="shared" si="65"/>
        <v>536.85655998291247</v>
      </c>
      <c r="K138" s="25">
        <f t="shared" si="65"/>
        <v>513.37764002288304</v>
      </c>
      <c r="L138" s="25"/>
      <c r="M138" s="25">
        <f>$C138*(L$81/1000)</f>
        <v>4366.2368194727169</v>
      </c>
      <c r="N138" s="25"/>
      <c r="O138" s="25"/>
      <c r="P138" s="25"/>
      <c r="Q138" s="25">
        <f>$O22*(P$80/100)</f>
        <v>42.262999999999998</v>
      </c>
      <c r="R138" s="25">
        <f>$O22*(Q$80/1000)</f>
        <v>1804.3050000000001</v>
      </c>
      <c r="S138" s="19"/>
      <c r="T138" s="19"/>
    </row>
    <row r="139" spans="1:20" ht="12.75" customHeight="1" x14ac:dyDescent="0.45">
      <c r="A139" s="18" t="s">
        <v>18</v>
      </c>
      <c r="B139" s="24" t="s">
        <v>27</v>
      </c>
      <c r="C139" s="25">
        <f t="shared" si="61"/>
        <v>1161.5355773440745</v>
      </c>
      <c r="D139" s="25"/>
      <c r="E139" s="25"/>
      <c r="F139" s="25">
        <f t="shared" ref="F139:K139" si="66">$C139*(E$83/100)</f>
        <v>135.42622528125796</v>
      </c>
      <c r="G139" s="25">
        <f t="shared" si="66"/>
        <v>35.612537858310787</v>
      </c>
      <c r="H139" s="25">
        <f t="shared" si="66"/>
        <v>258.4065463282966</v>
      </c>
      <c r="I139" s="25">
        <f t="shared" si="66"/>
        <v>137.64430722399015</v>
      </c>
      <c r="J139" s="25">
        <f t="shared" si="66"/>
        <v>665.17812927045543</v>
      </c>
      <c r="K139" s="25">
        <f t="shared" si="66"/>
        <v>666.41039701641773</v>
      </c>
      <c r="L139" s="25"/>
      <c r="M139" s="25">
        <f>$C139*(L$83/1000)</f>
        <v>5245.7637945615579</v>
      </c>
      <c r="N139" s="25"/>
      <c r="O139" s="25"/>
      <c r="P139" s="25"/>
      <c r="Q139" s="25">
        <f>$O23*(P$82/100)</f>
        <v>55.44</v>
      </c>
      <c r="R139" s="25">
        <f>$O23*(Q$82/1000)</f>
        <v>2159.85</v>
      </c>
      <c r="S139" s="19"/>
      <c r="T139" s="19"/>
    </row>
    <row r="140" spans="1:20" ht="12.75" customHeight="1" x14ac:dyDescent="0.45">
      <c r="A140" s="18" t="s">
        <v>22</v>
      </c>
      <c r="B140" s="24" t="s">
        <v>26</v>
      </c>
      <c r="C140" s="25">
        <f t="shared" si="61"/>
        <v>1346.8111909081604</v>
      </c>
      <c r="D140" s="25"/>
      <c r="E140" s="25"/>
      <c r="F140" s="25">
        <f t="shared" ref="F140:K140" si="67">$C140*(E$85/100)</f>
        <v>166.07274303322407</v>
      </c>
      <c r="G140" s="25">
        <f t="shared" si="67"/>
        <v>37.176180160419221</v>
      </c>
      <c r="H140" s="25">
        <f t="shared" si="67"/>
        <v>372.47948847987595</v>
      </c>
      <c r="I140" s="25">
        <f t="shared" si="67"/>
        <v>157.89111265042911</v>
      </c>
      <c r="J140" s="25">
        <f t="shared" si="67"/>
        <v>701.75422704358903</v>
      </c>
      <c r="K140" s="25">
        <f t="shared" si="67"/>
        <v>757.15965384637605</v>
      </c>
      <c r="L140" s="25"/>
      <c r="M140" s="25">
        <f>$C140*(L$85/1000)</f>
        <v>6030.0051294950254</v>
      </c>
      <c r="N140" s="25"/>
      <c r="O140" s="25"/>
      <c r="P140" s="25"/>
      <c r="Q140" s="25">
        <f>$O24*(P$84/100)</f>
        <v>57.221999999999994</v>
      </c>
      <c r="R140" s="25">
        <f>$O24*(Q$84/1000)</f>
        <v>3123.3675000000003</v>
      </c>
    </row>
    <row r="141" spans="1:20" ht="12.75" customHeight="1" x14ac:dyDescent="0.45">
      <c r="B141" s="130" t="s">
        <v>119</v>
      </c>
      <c r="C141" s="62">
        <f>AVERAGE(C135:C140)</f>
        <v>1187.6641895133687</v>
      </c>
      <c r="D141" s="62"/>
      <c r="E141" s="62"/>
      <c r="F141" s="62">
        <f t="shared" ref="F141:M141" si="68">AVERAGE(F135:F140)</f>
        <v>143.70949706287436</v>
      </c>
      <c r="G141" s="62">
        <f t="shared" si="68"/>
        <v>33.546511781402693</v>
      </c>
      <c r="H141" s="62">
        <f t="shared" si="68"/>
        <v>305.01751220144507</v>
      </c>
      <c r="I141" s="62">
        <f t="shared" si="68"/>
        <v>142.75943297619418</v>
      </c>
      <c r="J141" s="62">
        <f t="shared" si="68"/>
        <v>633.3320332580696</v>
      </c>
      <c r="K141" s="62">
        <f t="shared" si="68"/>
        <v>664.18121452791149</v>
      </c>
      <c r="L141" s="62" t="e">
        <f t="shared" si="68"/>
        <v>#DIV/0!</v>
      </c>
      <c r="M141" s="62">
        <f t="shared" si="68"/>
        <v>5361.0916877906138</v>
      </c>
      <c r="N141" s="62"/>
      <c r="O141" s="62"/>
      <c r="P141" s="25"/>
      <c r="Q141" s="25"/>
      <c r="R141" s="25"/>
      <c r="S141" s="19"/>
      <c r="T141" s="19"/>
    </row>
    <row r="142" spans="1:20" ht="12.75" customHeight="1" x14ac:dyDescent="0.45">
      <c r="A142" s="18" t="s">
        <v>25</v>
      </c>
      <c r="B142" s="24" t="s">
        <v>21</v>
      </c>
      <c r="C142" s="21">
        <f t="shared" ref="C142:C147" si="69">(M28*(100-$C$61)/100)*((100-$D$61)/100)</f>
        <v>1593.8453423269409</v>
      </c>
      <c r="D142" s="21"/>
      <c r="E142" s="21"/>
      <c r="F142" s="21">
        <f t="shared" ref="F142:K142" si="70">$C142*(E$88/100)</f>
        <v>184.03404404468458</v>
      </c>
      <c r="G142" s="21">
        <f t="shared" si="70"/>
        <v>51.911331805143057</v>
      </c>
      <c r="H142" s="21">
        <f t="shared" si="70"/>
        <v>420.81669943975641</v>
      </c>
      <c r="I142" s="21">
        <f t="shared" si="70"/>
        <v>189.39263313424775</v>
      </c>
      <c r="J142" s="21">
        <f t="shared" si="70"/>
        <v>828.40438206465387</v>
      </c>
      <c r="K142" s="21">
        <f t="shared" si="70"/>
        <v>903.25717340948916</v>
      </c>
      <c r="L142" s="21"/>
      <c r="M142" s="21">
        <f>$C142*(L$88/1000)</f>
        <v>7152.0418754763232</v>
      </c>
      <c r="N142" s="21"/>
      <c r="O142" s="21"/>
      <c r="P142" s="21"/>
      <c r="Q142" s="21">
        <f>$O28*(P$87/100)</f>
        <v>60.315750000000001</v>
      </c>
      <c r="R142" s="21">
        <f>$O28*(Q$87/1000)</f>
        <v>3070.6200000000003</v>
      </c>
    </row>
    <row r="143" spans="1:20" ht="12.75" customHeight="1" x14ac:dyDescent="0.45">
      <c r="A143" s="18" t="s">
        <v>24</v>
      </c>
      <c r="B143" s="24" t="s">
        <v>19</v>
      </c>
      <c r="C143" s="21">
        <f t="shared" si="69"/>
        <v>1256.5487125051441</v>
      </c>
      <c r="D143" s="21"/>
      <c r="E143" s="21"/>
      <c r="F143" s="21">
        <f t="shared" ref="F143:K143" si="71">$C143*(E$90/100)</f>
        <v>129.31980499532111</v>
      </c>
      <c r="G143" s="21">
        <f t="shared" si="71"/>
        <v>33.115294194145982</v>
      </c>
      <c r="H143" s="21">
        <f t="shared" si="71"/>
        <v>343.58753857562533</v>
      </c>
      <c r="I143" s="21">
        <f t="shared" si="71"/>
        <v>144.89577341074943</v>
      </c>
      <c r="J143" s="21">
        <f t="shared" si="71"/>
        <v>657.9864976836833</v>
      </c>
      <c r="K143" s="21">
        <f t="shared" si="71"/>
        <v>728.92914374386953</v>
      </c>
      <c r="L143" s="21"/>
      <c r="M143" s="21">
        <f>$C143*(L$90/1000)</f>
        <v>5680.6473044503391</v>
      </c>
      <c r="N143" s="21"/>
      <c r="O143" s="21"/>
      <c r="P143" s="21"/>
      <c r="Q143" s="21">
        <f>$O29*(P$89/100)</f>
        <v>51.680999999999997</v>
      </c>
      <c r="R143" s="21">
        <f>$O29*(Q$89/1000)</f>
        <v>3258.1499999999996</v>
      </c>
      <c r="S143" s="19"/>
      <c r="T143" s="19"/>
    </row>
    <row r="144" spans="1:20" ht="12.75" customHeight="1" x14ac:dyDescent="0.45">
      <c r="A144" s="18" t="s">
        <v>23</v>
      </c>
      <c r="B144" s="24" t="s">
        <v>17</v>
      </c>
      <c r="C144" s="21">
        <f t="shared" si="69"/>
        <v>1080.7744124571655</v>
      </c>
      <c r="D144" s="21"/>
      <c r="E144" s="21"/>
      <c r="F144" s="21">
        <f t="shared" ref="F144:K144" si="72">$C144*(E$92/100)</f>
        <v>136.32817104226581</v>
      </c>
      <c r="G144" s="21">
        <f t="shared" si="72"/>
        <v>29.5528676428832</v>
      </c>
      <c r="H144" s="21">
        <f t="shared" si="72"/>
        <v>284.54542676845011</v>
      </c>
      <c r="I144" s="21">
        <f t="shared" si="72"/>
        <v>124.09939822452107</v>
      </c>
      <c r="J144" s="21">
        <f t="shared" si="72"/>
        <v>557.76791574269225</v>
      </c>
      <c r="K144" s="21">
        <f t="shared" si="72"/>
        <v>585.73557209438616</v>
      </c>
      <c r="L144" s="21"/>
      <c r="M144" s="21">
        <f>$C144*(L$92/1000)</f>
        <v>4866.5986639506518</v>
      </c>
      <c r="N144" s="21"/>
      <c r="O144" s="21"/>
      <c r="P144" s="21"/>
      <c r="Q144" s="21">
        <f>$O30*(P$91/100)</f>
        <v>52.457999999999998</v>
      </c>
      <c r="R144" s="21">
        <f>$O30*(Q$91/1000)</f>
        <v>2060.85</v>
      </c>
    </row>
    <row r="145" spans="1:21" ht="12.75" customHeight="1" x14ac:dyDescent="0.45">
      <c r="A145" s="18" t="s">
        <v>22</v>
      </c>
      <c r="B145" s="24" t="s">
        <v>21</v>
      </c>
      <c r="C145" s="21">
        <f t="shared" si="69"/>
        <v>1567.1228980628903</v>
      </c>
      <c r="D145" s="21"/>
      <c r="E145" s="21"/>
      <c r="F145" s="21">
        <f t="shared" ref="F145:K145" si="73">$C145*(E$94/100)</f>
        <v>161.26991792146072</v>
      </c>
      <c r="G145" s="21">
        <f t="shared" si="73"/>
        <v>36.89508474186627</v>
      </c>
      <c r="H145" s="21">
        <f t="shared" si="73"/>
        <v>454.09335066912337</v>
      </c>
      <c r="I145" s="21">
        <f t="shared" si="73"/>
        <v>185.97793847257481</v>
      </c>
      <c r="J145" s="21">
        <f t="shared" si="73"/>
        <v>831.22455624322254</v>
      </c>
      <c r="K145" s="21">
        <f t="shared" si="73"/>
        <v>944.91483999530817</v>
      </c>
      <c r="L145" s="21"/>
      <c r="M145" s="21">
        <f>$C145*(L$94/1000)</f>
        <v>7061.8193872440879</v>
      </c>
      <c r="N145" s="21"/>
      <c r="O145" s="21"/>
      <c r="P145" s="21"/>
      <c r="Q145" s="21">
        <f>$O31*(P$93/100)</f>
        <v>38.703749999999999</v>
      </c>
      <c r="R145" s="21">
        <f>$O31*(Q$93/1000)</f>
        <v>3122.1025</v>
      </c>
    </row>
    <row r="146" spans="1:21" ht="12.75" customHeight="1" x14ac:dyDescent="0.45">
      <c r="A146" s="18" t="s">
        <v>20</v>
      </c>
      <c r="B146" s="24" t="s">
        <v>19</v>
      </c>
      <c r="C146" s="21">
        <f t="shared" si="69"/>
        <v>1025.3461247325765</v>
      </c>
      <c r="D146" s="21"/>
      <c r="E146" s="21"/>
      <c r="F146" s="21">
        <f t="shared" ref="F146:K146" si="74">$C146*(E$96/100)</f>
        <v>129.55365034925197</v>
      </c>
      <c r="G146" s="21">
        <f t="shared" si="74"/>
        <v>42.395463652496069</v>
      </c>
      <c r="H146" s="21">
        <f t="shared" si="74"/>
        <v>259.32250609775525</v>
      </c>
      <c r="I146" s="21">
        <f t="shared" si="74"/>
        <v>113.73605350428517</v>
      </c>
      <c r="J146" s="21">
        <f t="shared" si="74"/>
        <v>531.01932265245716</v>
      </c>
      <c r="K146" s="21">
        <f t="shared" si="74"/>
        <v>555.01472466897155</v>
      </c>
      <c r="L146" s="21"/>
      <c r="M146" s="21">
        <f>$C146*(L$96/1000)</f>
        <v>4802.3084842916251</v>
      </c>
      <c r="N146" s="21"/>
      <c r="O146" s="21"/>
      <c r="P146" s="21"/>
      <c r="Q146" s="21">
        <f>$O32*(P$95/100)</f>
        <v>61.116669200000004</v>
      </c>
      <c r="R146" s="21">
        <f>$O32*(Q$95/1000)</f>
        <v>1761.1250730000002</v>
      </c>
    </row>
    <row r="147" spans="1:21" ht="12.75" customHeight="1" x14ac:dyDescent="0.45">
      <c r="A147" s="18" t="s">
        <v>18</v>
      </c>
      <c r="B147" s="24" t="s">
        <v>17</v>
      </c>
      <c r="C147" s="21">
        <f t="shared" si="69"/>
        <v>1253.5795520313607</v>
      </c>
      <c r="D147" s="21"/>
      <c r="E147" s="21"/>
      <c r="F147" s="21">
        <f t="shared" ref="F147:K147" si="75">$C147*(E$98/100)</f>
        <v>150.61194361091452</v>
      </c>
      <c r="G147" s="21">
        <f t="shared" si="75"/>
        <v>43.319374698419757</v>
      </c>
      <c r="H147" s="21">
        <f t="shared" si="75"/>
        <v>361.97830436852917</v>
      </c>
      <c r="I147" s="21">
        <f t="shared" si="75"/>
        <v>133.84747971833721</v>
      </c>
      <c r="J147" s="21">
        <f t="shared" si="75"/>
        <v>651.40000900998371</v>
      </c>
      <c r="K147" s="21">
        <f t="shared" si="75"/>
        <v>721.40841022538677</v>
      </c>
      <c r="L147" s="21"/>
      <c r="M147" s="21">
        <f>$C147*(L$98/1000)</f>
        <v>5750.881693709719</v>
      </c>
      <c r="N147" s="21"/>
      <c r="O147" s="21"/>
      <c r="P147" s="21"/>
      <c r="Q147" s="21">
        <f>$O33*(P$97/100)</f>
        <v>61.68</v>
      </c>
      <c r="R147" s="21">
        <f>$O33*(Q$97/1000)</f>
        <v>2023.875</v>
      </c>
    </row>
    <row r="148" spans="1:21" ht="12.75" customHeight="1" x14ac:dyDescent="0.45">
      <c r="B148" s="130" t="s">
        <v>119</v>
      </c>
      <c r="C148" s="22">
        <f>AVERAGE(C142:C147)</f>
        <v>1296.2028403526797</v>
      </c>
      <c r="D148" s="22"/>
      <c r="E148" s="22"/>
      <c r="F148" s="22">
        <f t="shared" ref="F148:M148" si="76">AVERAGE(F142:F147)</f>
        <v>148.51958866064979</v>
      </c>
      <c r="G148" s="22">
        <f t="shared" si="76"/>
        <v>39.531569455825725</v>
      </c>
      <c r="H148" s="22">
        <f t="shared" si="76"/>
        <v>354.05730431987325</v>
      </c>
      <c r="I148" s="22">
        <f t="shared" si="76"/>
        <v>148.65821274411923</v>
      </c>
      <c r="J148" s="22">
        <f t="shared" si="76"/>
        <v>676.30044723278218</v>
      </c>
      <c r="K148" s="22">
        <f t="shared" si="76"/>
        <v>739.87664402290193</v>
      </c>
      <c r="L148" s="22" t="e">
        <f t="shared" si="76"/>
        <v>#DIV/0!</v>
      </c>
      <c r="M148" s="22">
        <f t="shared" si="76"/>
        <v>5885.7162348537904</v>
      </c>
      <c r="N148" s="22"/>
      <c r="O148" s="22"/>
      <c r="P148" s="21"/>
      <c r="Q148" s="21"/>
      <c r="R148" s="21"/>
    </row>
    <row r="149" spans="1:21" ht="12.75" customHeight="1" x14ac:dyDescent="0.45">
      <c r="Q149" s="19"/>
      <c r="R149" s="19"/>
    </row>
    <row r="150" spans="1:21" ht="12.75" customHeight="1" x14ac:dyDescent="0.45">
      <c r="B150" s="52" t="s">
        <v>126</v>
      </c>
      <c r="C150" s="50"/>
      <c r="D150" s="50"/>
      <c r="E150" s="50"/>
      <c r="F150" s="19"/>
      <c r="G150" s="19"/>
      <c r="H150" s="19"/>
      <c r="I150" s="19"/>
      <c r="J150" s="19"/>
      <c r="K150" s="19"/>
      <c r="L150" s="19"/>
      <c r="M150" s="19"/>
      <c r="N150" s="19"/>
    </row>
    <row r="151" spans="1:21" ht="12.75" customHeight="1" x14ac:dyDescent="0.45">
      <c r="B151" s="31" t="s">
        <v>60</v>
      </c>
      <c r="C151" s="31" t="s">
        <v>85</v>
      </c>
      <c r="D151" s="31" t="s">
        <v>73</v>
      </c>
      <c r="E151" s="31"/>
      <c r="F151" s="31" t="s">
        <v>112</v>
      </c>
      <c r="G151" s="31" t="s">
        <v>108</v>
      </c>
      <c r="H151" s="31" t="s">
        <v>109</v>
      </c>
      <c r="I151" s="31" t="s">
        <v>122</v>
      </c>
      <c r="J151" s="31" t="s">
        <v>72</v>
      </c>
      <c r="K151" s="31" t="s">
        <v>71</v>
      </c>
      <c r="L151" s="31" t="s">
        <v>70</v>
      </c>
      <c r="M151" s="31" t="s">
        <v>69</v>
      </c>
      <c r="N151" s="31" t="s">
        <v>68</v>
      </c>
      <c r="O151" s="31" t="s">
        <v>67</v>
      </c>
      <c r="P151" s="19" t="s">
        <v>66</v>
      </c>
      <c r="Q151" s="18" t="s">
        <v>65</v>
      </c>
      <c r="R151" s="19" t="s">
        <v>64</v>
      </c>
      <c r="S151" s="19" t="s">
        <v>63</v>
      </c>
      <c r="T151" s="19" t="s">
        <v>62</v>
      </c>
      <c r="U151" s="18" t="s">
        <v>61</v>
      </c>
    </row>
    <row r="152" spans="1:21" ht="12.75" customHeight="1" x14ac:dyDescent="0.45">
      <c r="A152" s="18" t="s">
        <v>23</v>
      </c>
      <c r="B152" s="29" t="s">
        <v>31</v>
      </c>
      <c r="C152" s="39">
        <f t="shared" ref="C152:C157" si="77">(C103-C128)/C103*100</f>
        <v>69.411793201915756</v>
      </c>
      <c r="D152" s="39"/>
      <c r="E152" s="39"/>
      <c r="F152" s="39">
        <f t="shared" ref="F152:K157" si="78">(E103-F128)/E103*100</f>
        <v>69.70181407799555</v>
      </c>
      <c r="G152" s="39">
        <f t="shared" si="78"/>
        <v>82.608666652777458</v>
      </c>
      <c r="H152" s="39">
        <f t="shared" si="78"/>
        <v>69.451825342504051</v>
      </c>
      <c r="I152" s="39">
        <f t="shared" si="78"/>
        <v>48.259889827387589</v>
      </c>
      <c r="J152" s="39">
        <f t="shared" si="78"/>
        <v>67.817344635461694</v>
      </c>
      <c r="K152" s="39">
        <f t="shared" si="78"/>
        <v>68.64642044541219</v>
      </c>
      <c r="L152" s="39"/>
      <c r="M152" s="39">
        <f t="shared" ref="M152:M157" si="79">(L103-M128)/L103*100</f>
        <v>68.882475018692332</v>
      </c>
      <c r="N152" s="21"/>
      <c r="O152" s="21"/>
      <c r="P152" s="19">
        <v>70.208171823214286</v>
      </c>
      <c r="Q152" s="18">
        <f t="shared" ref="Q152:Q157" si="80">P152/(C103/1000)</f>
        <v>16.037307990029671</v>
      </c>
      <c r="R152" s="19">
        <f t="shared" ref="R152:R157" si="81">P152/((C103/1000)*(C152/100))</f>
        <v>23.10458677155605</v>
      </c>
      <c r="S152" s="19">
        <f t="shared" ref="S152:S157" si="82">P152/(J103/1000)</f>
        <v>29.104877883685845</v>
      </c>
      <c r="T152" s="19">
        <f t="shared" ref="T152:T157" si="83">P152/((J103/1000)*(K152/100))</f>
        <v>42.398245523712511</v>
      </c>
      <c r="U152" s="18">
        <v>8.1482496563483391</v>
      </c>
    </row>
    <row r="153" spans="1:21" ht="12.75" customHeight="1" x14ac:dyDescent="0.45">
      <c r="A153" s="18" t="s">
        <v>25</v>
      </c>
      <c r="B153" s="29" t="s">
        <v>30</v>
      </c>
      <c r="C153" s="39">
        <f t="shared" si="77"/>
        <v>57.616194594463288</v>
      </c>
      <c r="D153" s="39"/>
      <c r="E153" s="39"/>
      <c r="F153" s="39">
        <f t="shared" si="78"/>
        <v>58.024753095924041</v>
      </c>
      <c r="G153" s="39">
        <f t="shared" si="78"/>
        <v>84.051549827880891</v>
      </c>
      <c r="H153" s="39">
        <f t="shared" si="78"/>
        <v>60.746763538999815</v>
      </c>
      <c r="I153" s="39">
        <f t="shared" si="78"/>
        <v>72.206444311449573</v>
      </c>
      <c r="J153" s="39">
        <f t="shared" si="78"/>
        <v>47.173290885552824</v>
      </c>
      <c r="K153" s="39">
        <f t="shared" si="78"/>
        <v>58.440964737625848</v>
      </c>
      <c r="L153" s="39"/>
      <c r="M153" s="39">
        <f t="shared" si="79"/>
        <v>56.862476794197889</v>
      </c>
      <c r="N153" s="21"/>
      <c r="O153" s="21"/>
      <c r="P153" s="19">
        <v>56.484759300000015</v>
      </c>
      <c r="Q153" s="18">
        <f t="shared" si="80"/>
        <v>12.902536244894357</v>
      </c>
      <c r="R153" s="19">
        <f t="shared" si="81"/>
        <v>22.393940342138187</v>
      </c>
      <c r="S153" s="19">
        <f t="shared" si="82"/>
        <v>23.415821535069615</v>
      </c>
      <c r="T153" s="19">
        <f t="shared" si="83"/>
        <v>40.067479447330008</v>
      </c>
      <c r="U153" s="18">
        <v>6.9238451202215252</v>
      </c>
    </row>
    <row r="154" spans="1:21" ht="12.75" customHeight="1" x14ac:dyDescent="0.45">
      <c r="A154" s="18" t="s">
        <v>24</v>
      </c>
      <c r="B154" s="29" t="s">
        <v>29</v>
      </c>
      <c r="C154" s="39">
        <f t="shared" si="77"/>
        <v>65.247456400580106</v>
      </c>
      <c r="D154" s="39"/>
      <c r="E154" s="39"/>
      <c r="F154" s="39">
        <f t="shared" si="78"/>
        <v>65.677669610402361</v>
      </c>
      <c r="G154" s="39">
        <f t="shared" si="78"/>
        <v>62.227886874797825</v>
      </c>
      <c r="H154" s="39">
        <f t="shared" si="78"/>
        <v>65.790882713423983</v>
      </c>
      <c r="I154" s="39">
        <f t="shared" si="78"/>
        <v>34.734792228191601</v>
      </c>
      <c r="J154" s="39">
        <f t="shared" si="78"/>
        <v>66.984912779002968</v>
      </c>
      <c r="K154" s="39">
        <f t="shared" si="78"/>
        <v>64.322257116142922</v>
      </c>
      <c r="L154" s="39"/>
      <c r="M154" s="39">
        <f t="shared" si="79"/>
        <v>65.921751686970779</v>
      </c>
      <c r="N154" s="21"/>
      <c r="O154" s="21"/>
      <c r="P154" s="19">
        <v>58.061024889285676</v>
      </c>
      <c r="Q154" s="18">
        <f t="shared" si="80"/>
        <v>13.262594854497708</v>
      </c>
      <c r="R154" s="19">
        <f t="shared" si="81"/>
        <v>20.326608248256235</v>
      </c>
      <c r="S154" s="19">
        <f t="shared" si="82"/>
        <v>24.06926423692396</v>
      </c>
      <c r="T154" s="19">
        <f t="shared" si="83"/>
        <v>37.419806636237134</v>
      </c>
      <c r="U154" s="18">
        <v>6.122022680634057</v>
      </c>
    </row>
    <row r="155" spans="1:21" ht="12.75" customHeight="1" x14ac:dyDescent="0.45">
      <c r="A155" s="27" t="s">
        <v>18</v>
      </c>
      <c r="B155" s="29" t="s">
        <v>31</v>
      </c>
      <c r="C155" s="39">
        <f t="shared" si="77"/>
        <v>77.563144472996342</v>
      </c>
      <c r="D155" s="39"/>
      <c r="E155" s="39"/>
      <c r="F155" s="39">
        <f t="shared" si="78"/>
        <v>79.916048122163687</v>
      </c>
      <c r="G155" s="39">
        <f t="shared" si="78"/>
        <v>88.62088955720877</v>
      </c>
      <c r="H155" s="39">
        <f t="shared" si="78"/>
        <v>77.452869227781861</v>
      </c>
      <c r="I155" s="39">
        <f t="shared" si="78"/>
        <v>61.570565166358989</v>
      </c>
      <c r="J155" s="39">
        <f t="shared" si="78"/>
        <v>76.36844074684717</v>
      </c>
      <c r="K155" s="39">
        <f t="shared" si="78"/>
        <v>76.411457318233232</v>
      </c>
      <c r="L155" s="39"/>
      <c r="M155" s="39">
        <f t="shared" si="79"/>
        <v>77.447158524340239</v>
      </c>
      <c r="N155" s="21"/>
      <c r="O155" s="21"/>
      <c r="P155" s="19">
        <v>75.213604692857146</v>
      </c>
      <c r="Q155" s="18">
        <f t="shared" si="80"/>
        <v>15.683266965257321</v>
      </c>
      <c r="R155" s="19">
        <f t="shared" si="81"/>
        <v>20.219998907751169</v>
      </c>
      <c r="S155" s="19">
        <f t="shared" si="82"/>
        <v>28.093714396297262</v>
      </c>
      <c r="T155" s="19">
        <f t="shared" si="83"/>
        <v>36.766363818052149</v>
      </c>
      <c r="U155" s="18">
        <v>6.9413303699053959</v>
      </c>
    </row>
    <row r="156" spans="1:21" ht="12.75" customHeight="1" x14ac:dyDescent="0.45">
      <c r="A156" s="27" t="s">
        <v>22</v>
      </c>
      <c r="B156" s="29" t="s">
        <v>30</v>
      </c>
      <c r="C156" s="39">
        <f t="shared" si="77"/>
        <v>69.74986862446471</v>
      </c>
      <c r="D156" s="39"/>
      <c r="E156" s="39"/>
      <c r="F156" s="39">
        <f t="shared" si="78"/>
        <v>72.083884107950283</v>
      </c>
      <c r="G156" s="39">
        <f t="shared" si="78"/>
        <v>85.987973784693111</v>
      </c>
      <c r="H156" s="39">
        <f t="shared" si="78"/>
        <v>69.572948027742953</v>
      </c>
      <c r="I156" s="39">
        <f t="shared" si="78"/>
        <v>50.264376488071896</v>
      </c>
      <c r="J156" s="39">
        <f t="shared" si="78"/>
        <v>66.551646151812221</v>
      </c>
      <c r="K156" s="39">
        <f t="shared" si="78"/>
        <v>68.810038529292513</v>
      </c>
      <c r="L156" s="39"/>
      <c r="M156" s="39">
        <f t="shared" si="79"/>
        <v>69.290682028840649</v>
      </c>
      <c r="N156" s="21"/>
      <c r="O156" s="21"/>
      <c r="P156" s="19">
        <v>65.361082221428532</v>
      </c>
      <c r="Q156" s="18">
        <f t="shared" si="80"/>
        <v>13.628854856814842</v>
      </c>
      <c r="R156" s="19">
        <f t="shared" si="81"/>
        <v>19.539613658905921</v>
      </c>
      <c r="S156" s="19">
        <f t="shared" si="82"/>
        <v>24.413609533277675</v>
      </c>
      <c r="T156" s="19">
        <f t="shared" si="83"/>
        <v>35.479720771969589</v>
      </c>
      <c r="U156" s="18">
        <v>5.5866832749238586</v>
      </c>
    </row>
    <row r="157" spans="1:21" ht="12.75" customHeight="1" x14ac:dyDescent="0.45">
      <c r="A157" s="27" t="s">
        <v>20</v>
      </c>
      <c r="B157" s="29" t="s">
        <v>29</v>
      </c>
      <c r="C157" s="39">
        <f t="shared" si="77"/>
        <v>77.587909214196131</v>
      </c>
      <c r="D157" s="39"/>
      <c r="E157" s="39"/>
      <c r="F157" s="39">
        <f t="shared" si="78"/>
        <v>76.459816905923631</v>
      </c>
      <c r="G157" s="39">
        <f t="shared" si="78"/>
        <v>84.846386511937226</v>
      </c>
      <c r="H157" s="39">
        <f t="shared" si="78"/>
        <v>79.914864425980127</v>
      </c>
      <c r="I157" s="39">
        <f t="shared" si="78"/>
        <v>60.143402817995984</v>
      </c>
      <c r="J157" s="39">
        <f t="shared" si="78"/>
        <v>76.703639800658948</v>
      </c>
      <c r="K157" s="39">
        <f t="shared" si="78"/>
        <v>78.410944595012452</v>
      </c>
      <c r="L157" s="39"/>
      <c r="M157" s="39">
        <f t="shared" si="79"/>
        <v>77.640924622496911</v>
      </c>
      <c r="N157" s="21"/>
      <c r="O157" s="21"/>
      <c r="P157" s="19">
        <v>56.527106700000033</v>
      </c>
      <c r="Q157" s="18">
        <f t="shared" si="80"/>
        <v>11.786826449415978</v>
      </c>
      <c r="R157" s="19">
        <f t="shared" si="81"/>
        <v>15.191576327796396</v>
      </c>
      <c r="S157" s="19">
        <f t="shared" si="82"/>
        <v>21.113951362440631</v>
      </c>
      <c r="T157" s="19">
        <f t="shared" si="83"/>
        <v>26.927301375455745</v>
      </c>
      <c r="U157" s="18">
        <v>5.7448902349217024</v>
      </c>
    </row>
    <row r="158" spans="1:21" ht="12.75" customHeight="1" x14ac:dyDescent="0.45">
      <c r="B158" s="131" t="s">
        <v>119</v>
      </c>
      <c r="C158" s="22">
        <f>AVERAGE(C152:C155)</f>
        <v>67.459647167488868</v>
      </c>
      <c r="D158" s="22"/>
      <c r="E158" s="22"/>
      <c r="F158" s="22">
        <f t="shared" ref="F158:M158" si="84">AVERAGE(F152:F157)</f>
        <v>70.310664320059928</v>
      </c>
      <c r="G158" s="22">
        <f t="shared" si="84"/>
        <v>81.390558868215876</v>
      </c>
      <c r="H158" s="22">
        <f t="shared" si="84"/>
        <v>70.488358879405467</v>
      </c>
      <c r="I158" s="22">
        <f t="shared" si="84"/>
        <v>54.529911806575939</v>
      </c>
      <c r="J158" s="22">
        <f t="shared" si="84"/>
        <v>66.933212499889308</v>
      </c>
      <c r="K158" s="22">
        <f t="shared" si="84"/>
        <v>69.173680456953193</v>
      </c>
      <c r="L158" s="22" t="e">
        <f t="shared" si="84"/>
        <v>#DIV/0!</v>
      </c>
      <c r="M158" s="22">
        <f t="shared" si="84"/>
        <v>69.34091144592314</v>
      </c>
      <c r="N158" s="22"/>
      <c r="O158" s="22"/>
    </row>
    <row r="159" spans="1:21" ht="12.75" customHeight="1" x14ac:dyDescent="0.45">
      <c r="A159" s="27" t="s">
        <v>24</v>
      </c>
      <c r="B159" s="24" t="s">
        <v>28</v>
      </c>
      <c r="C159" s="41">
        <f t="shared" ref="C159:C164" si="85">(C110-C135)/C110*100</f>
        <v>78.452147886009215</v>
      </c>
      <c r="D159" s="41"/>
      <c r="E159" s="41"/>
      <c r="F159" s="41">
        <f t="shared" ref="F159:F164" si="86">(E110-F135)/E110*100</f>
        <v>79.230864091780134</v>
      </c>
      <c r="G159" s="41">
        <f t="shared" ref="G159:H164" si="87">(F110-G135)/F103*100</f>
        <v>84.439702179541541</v>
      </c>
      <c r="H159" s="41">
        <f t="shared" si="87"/>
        <v>73.387793364953652</v>
      </c>
      <c r="I159" s="41">
        <f t="shared" ref="I159:I164" si="88">(H110-I135)/H110*100</f>
        <v>64.276084045442843</v>
      </c>
      <c r="J159" s="41">
        <f t="shared" ref="J159:J164" si="89">(I103-J135)/I103*100</f>
        <v>79.03570923006319</v>
      </c>
      <c r="K159" s="41">
        <f t="shared" ref="K159:K164" si="90">(J110-K135)/J110*100</f>
        <v>77.647982304365172</v>
      </c>
      <c r="L159" s="41"/>
      <c r="M159" s="41">
        <f t="shared" ref="M159:M164" si="91">(L110-M135)/L110*100</f>
        <v>79.020366716176554</v>
      </c>
      <c r="N159" s="25"/>
      <c r="O159" s="25"/>
      <c r="P159" s="19">
        <v>89.015562842857122</v>
      </c>
      <c r="Q159" s="18">
        <f t="shared" ref="Q159:Q164" si="92">P159/(C110/1000)</f>
        <v>20.469124308013242</v>
      </c>
      <c r="R159" s="19">
        <f t="shared" ref="R159:R164" si="93">P159/((C110/1000)*(C159/100))</f>
        <v>26.091222305034698</v>
      </c>
      <c r="S159" s="19">
        <f t="shared" ref="S159:S164" si="94">P159/(J110/1000)</f>
        <v>39.189796568691008</v>
      </c>
      <c r="T159" s="19">
        <f t="shared" ref="T159:T164" si="95">P159/((J110/1000)*(K159/100))</f>
        <v>50.471107433383828</v>
      </c>
      <c r="U159" s="18">
        <v>7.3031326072201708</v>
      </c>
    </row>
    <row r="160" spans="1:21" ht="12.75" customHeight="1" x14ac:dyDescent="0.45">
      <c r="A160" s="27" t="s">
        <v>23</v>
      </c>
      <c r="B160" s="24" t="s">
        <v>27</v>
      </c>
      <c r="C160" s="41">
        <f t="shared" si="85"/>
        <v>70.941806528154387</v>
      </c>
      <c r="D160" s="41"/>
      <c r="E160" s="41"/>
      <c r="F160" s="41">
        <f t="shared" si="86"/>
        <v>69.286725617739563</v>
      </c>
      <c r="G160" s="41">
        <f t="shared" si="87"/>
        <v>81.631762887781804</v>
      </c>
      <c r="H160" s="41">
        <f t="shared" si="87"/>
        <v>66.449422763515543</v>
      </c>
      <c r="I160" s="41">
        <f t="shared" si="88"/>
        <v>51.609005897203765</v>
      </c>
      <c r="J160" s="41">
        <f t="shared" si="89"/>
        <v>68.863236403978462</v>
      </c>
      <c r="K160" s="41">
        <f t="shared" si="90"/>
        <v>69.823089474421295</v>
      </c>
      <c r="L160" s="41"/>
      <c r="M160" s="41">
        <f t="shared" si="91"/>
        <v>69.472211341125316</v>
      </c>
      <c r="N160" s="25"/>
      <c r="O160" s="25"/>
      <c r="P160" s="18">
        <v>74.221272160714292</v>
      </c>
      <c r="Q160" s="18">
        <f t="shared" si="92"/>
        <v>17.067177891561826</v>
      </c>
      <c r="R160" s="19">
        <f t="shared" si="93"/>
        <v>24.057997289353558</v>
      </c>
      <c r="S160" s="19">
        <f t="shared" si="94"/>
        <v>32.676494583118242</v>
      </c>
      <c r="T160" s="19">
        <f t="shared" si="95"/>
        <v>46.798981295562434</v>
      </c>
      <c r="U160" s="18">
        <v>7.9494275282131044</v>
      </c>
    </row>
    <row r="161" spans="1:21" ht="12.75" customHeight="1" x14ac:dyDescent="0.45">
      <c r="A161" s="18" t="s">
        <v>25</v>
      </c>
      <c r="B161" s="24" t="s">
        <v>26</v>
      </c>
      <c r="C161" s="41">
        <f t="shared" si="85"/>
        <v>66.736015367755684</v>
      </c>
      <c r="D161" s="41"/>
      <c r="E161" s="41"/>
      <c r="F161" s="41">
        <f t="shared" si="86"/>
        <v>65.543902448312011</v>
      </c>
      <c r="G161" s="41">
        <f t="shared" si="87"/>
        <v>82.844202109952576</v>
      </c>
      <c r="H161" s="41">
        <f t="shared" si="87"/>
        <v>59.152366301890339</v>
      </c>
      <c r="I161" s="41">
        <f t="shared" si="88"/>
        <v>49.596563837984149</v>
      </c>
      <c r="J161" s="41">
        <f t="shared" si="89"/>
        <v>63.776426321299773</v>
      </c>
      <c r="K161" s="41">
        <f t="shared" si="90"/>
        <v>62.357983322216967</v>
      </c>
      <c r="L161" s="41"/>
      <c r="M161" s="41">
        <f t="shared" si="91"/>
        <v>66.595404095861241</v>
      </c>
      <c r="N161" s="25"/>
      <c r="O161" s="25"/>
      <c r="P161" s="19">
        <v>56.988707757142876</v>
      </c>
      <c r="Q161" s="18">
        <f t="shared" si="92"/>
        <v>13.104550552506003</v>
      </c>
      <c r="R161" s="19">
        <f t="shared" si="93"/>
        <v>19.636399446823468</v>
      </c>
      <c r="S161" s="19">
        <f t="shared" si="94"/>
        <v>25.089723553820402</v>
      </c>
      <c r="T161" s="19">
        <f t="shared" si="95"/>
        <v>40.234982302388552</v>
      </c>
      <c r="U161" s="18">
        <v>5.7843395428867721</v>
      </c>
    </row>
    <row r="162" spans="1:21" ht="12.75" customHeight="1" x14ac:dyDescent="0.45">
      <c r="A162" s="18" t="s">
        <v>20</v>
      </c>
      <c r="B162" s="24" t="s">
        <v>28</v>
      </c>
      <c r="C162" s="41">
        <f t="shared" si="85"/>
        <v>79.628476826184084</v>
      </c>
      <c r="D162" s="41"/>
      <c r="E162" s="41"/>
      <c r="F162" s="41">
        <f t="shared" si="86"/>
        <v>79.040531168347201</v>
      </c>
      <c r="G162" s="41">
        <f t="shared" si="87"/>
        <v>86.649895815829964</v>
      </c>
      <c r="H162" s="41">
        <f t="shared" si="87"/>
        <v>74.686795396281667</v>
      </c>
      <c r="I162" s="41">
        <f t="shared" si="88"/>
        <v>64.251290178476296</v>
      </c>
      <c r="J162" s="41">
        <f t="shared" si="89"/>
        <v>76.941647210743838</v>
      </c>
      <c r="K162" s="41">
        <f t="shared" si="90"/>
        <v>79.618020137396456</v>
      </c>
      <c r="L162" s="41"/>
      <c r="M162" s="41">
        <f t="shared" si="91"/>
        <v>79.529053011378736</v>
      </c>
      <c r="N162" s="25"/>
      <c r="O162" s="25"/>
      <c r="P162" s="18">
        <v>73.772045264285708</v>
      </c>
      <c r="Q162" s="18">
        <f t="shared" si="92"/>
        <v>15.488152209965083</v>
      </c>
      <c r="R162" s="19">
        <f t="shared" si="93"/>
        <v>19.450519245486991</v>
      </c>
      <c r="S162" s="19">
        <f t="shared" si="94"/>
        <v>29.288777379021166</v>
      </c>
      <c r="T162" s="19">
        <f t="shared" si="95"/>
        <v>36.78661856760273</v>
      </c>
      <c r="U162" s="18">
        <v>5.602028663422602</v>
      </c>
    </row>
    <row r="163" spans="1:21" ht="12.75" customHeight="1" x14ac:dyDescent="0.45">
      <c r="A163" s="18" t="s">
        <v>18</v>
      </c>
      <c r="B163" s="24" t="s">
        <v>27</v>
      </c>
      <c r="C163" s="41">
        <f t="shared" si="85"/>
        <v>75.614015099153036</v>
      </c>
      <c r="D163" s="41"/>
      <c r="E163" s="41"/>
      <c r="F163" s="41">
        <f t="shared" si="86"/>
        <v>75.777741797276235</v>
      </c>
      <c r="G163" s="41">
        <f t="shared" si="87"/>
        <v>83.366444491071832</v>
      </c>
      <c r="H163" s="41">
        <f t="shared" si="87"/>
        <v>73.65175122025839</v>
      </c>
      <c r="I163" s="41">
        <f t="shared" si="88"/>
        <v>61.15100866934511</v>
      </c>
      <c r="J163" s="41">
        <f t="shared" si="89"/>
        <v>71.430148915561759</v>
      </c>
      <c r="K163" s="41">
        <f t="shared" si="90"/>
        <v>73.54235511384401</v>
      </c>
      <c r="L163" s="41"/>
      <c r="M163" s="41">
        <f t="shared" si="91"/>
        <v>75.405421878544217</v>
      </c>
      <c r="N163" s="25"/>
      <c r="O163" s="25"/>
      <c r="P163" s="19">
        <v>53.658407162500012</v>
      </c>
      <c r="Q163" s="18">
        <f t="shared" si="92"/>
        <v>11.265372601502424</v>
      </c>
      <c r="R163" s="19">
        <f t="shared" si="93"/>
        <v>14.89852454829979</v>
      </c>
      <c r="S163" s="19">
        <f t="shared" si="94"/>
        <v>21.303315317681321</v>
      </c>
      <c r="T163" s="19">
        <f t="shared" si="95"/>
        <v>28.967409712000194</v>
      </c>
      <c r="U163" s="18">
        <v>8.7470272113089749</v>
      </c>
    </row>
    <row r="164" spans="1:21" ht="12.75" customHeight="1" x14ac:dyDescent="0.45">
      <c r="A164" s="18" t="s">
        <v>22</v>
      </c>
      <c r="B164" s="24" t="s">
        <v>26</v>
      </c>
      <c r="C164" s="41">
        <f t="shared" si="85"/>
        <v>71.724226096563953</v>
      </c>
      <c r="D164" s="41"/>
      <c r="E164" s="41"/>
      <c r="F164" s="41">
        <f t="shared" si="86"/>
        <v>70.296322932792734</v>
      </c>
      <c r="G164" s="41">
        <f t="shared" si="87"/>
        <v>82.726870232983572</v>
      </c>
      <c r="H164" s="41">
        <f t="shared" si="87"/>
        <v>65.111812998527625</v>
      </c>
      <c r="I164" s="41">
        <f t="shared" si="88"/>
        <v>55.436511758076612</v>
      </c>
      <c r="J164" s="41">
        <f t="shared" si="89"/>
        <v>69.859180748321535</v>
      </c>
      <c r="K164" s="41">
        <f t="shared" si="90"/>
        <v>69.93945272570727</v>
      </c>
      <c r="L164" s="41"/>
      <c r="M164" s="41">
        <f t="shared" si="91"/>
        <v>71.728534101383445</v>
      </c>
      <c r="N164" s="25"/>
      <c r="O164" s="25"/>
      <c r="P164" s="18">
        <v>67.799424437500008</v>
      </c>
      <c r="Q164" s="18">
        <f t="shared" si="92"/>
        <v>14.234223840129747</v>
      </c>
      <c r="R164" s="19">
        <f t="shared" si="93"/>
        <v>19.845768458994442</v>
      </c>
      <c r="S164" s="19">
        <f t="shared" si="94"/>
        <v>26.91754365304341</v>
      </c>
      <c r="T164" s="19">
        <f t="shared" si="95"/>
        <v>38.486923480242609</v>
      </c>
      <c r="U164" s="18">
        <v>7.2924653829115282</v>
      </c>
    </row>
    <row r="165" spans="1:21" ht="12.75" customHeight="1" x14ac:dyDescent="0.45">
      <c r="B165" s="130" t="s">
        <v>119</v>
      </c>
      <c r="C165" s="62">
        <f>AVERAGE(C159:C162)</f>
        <v>73.939611652025832</v>
      </c>
      <c r="D165" s="62"/>
      <c r="E165" s="62"/>
      <c r="F165" s="62">
        <f t="shared" ref="F165:M165" si="96">AVERAGE(F159:F164)</f>
        <v>73.196014676041315</v>
      </c>
      <c r="G165" s="62">
        <f t="shared" si="96"/>
        <v>83.60981295286021</v>
      </c>
      <c r="H165" s="62">
        <f t="shared" si="96"/>
        <v>68.739990340904541</v>
      </c>
      <c r="I165" s="62">
        <f t="shared" si="96"/>
        <v>57.7200773977548</v>
      </c>
      <c r="J165" s="62">
        <f t="shared" si="96"/>
        <v>71.651058138328082</v>
      </c>
      <c r="K165" s="62">
        <f t="shared" si="96"/>
        <v>72.154813846325183</v>
      </c>
      <c r="L165" s="62" t="e">
        <f t="shared" si="96"/>
        <v>#DIV/0!</v>
      </c>
      <c r="M165" s="62">
        <f t="shared" si="96"/>
        <v>73.625165190744923</v>
      </c>
      <c r="N165" s="62"/>
      <c r="O165" s="62"/>
    </row>
    <row r="166" spans="1:21" ht="12.75" customHeight="1" x14ac:dyDescent="0.45">
      <c r="A166" s="18" t="s">
        <v>25</v>
      </c>
      <c r="B166" s="24" t="s">
        <v>21</v>
      </c>
      <c r="C166" s="39">
        <f t="shared" ref="C166:C171" si="97">(C117-C142)/C117*100</f>
        <v>63.529953363991709</v>
      </c>
      <c r="D166" s="39"/>
      <c r="E166" s="39"/>
      <c r="F166" s="39">
        <f t="shared" ref="F166:K171" si="98">(E117-F142)/E117*100</f>
        <v>64.498409137971478</v>
      </c>
      <c r="G166" s="39">
        <f t="shared" si="98"/>
        <v>75.328439479404437</v>
      </c>
      <c r="H166" s="39">
        <f t="shared" si="98"/>
        <v>63.327853112289326</v>
      </c>
      <c r="I166" s="39">
        <f t="shared" si="98"/>
        <v>37.722490245579003</v>
      </c>
      <c r="J166" s="39">
        <f t="shared" si="98"/>
        <v>61.252621558515074</v>
      </c>
      <c r="K166" s="39">
        <f t="shared" si="98"/>
        <v>60.791248953667974</v>
      </c>
      <c r="L166" s="39"/>
      <c r="M166" s="39">
        <f t="shared" ref="M166:M171" si="99">(L117-M142)/L117*100</f>
        <v>63.982394406001433</v>
      </c>
      <c r="N166" s="21"/>
      <c r="O166" s="21"/>
      <c r="P166" s="18">
        <v>54.177509726785708</v>
      </c>
      <c r="Q166" s="18">
        <f t="shared" ref="Q166:Q171" si="100">P166/(C117/1000)</f>
        <v>12.396788156835893</v>
      </c>
      <c r="R166" s="19">
        <f t="shared" ref="R166:R171" si="101">P166/((C117/1000)*(C166/100))</f>
        <v>19.513296485217158</v>
      </c>
      <c r="S166" s="19">
        <f t="shared" ref="S166:S171" si="102">P166/(J117/1000)</f>
        <v>23.517471587516059</v>
      </c>
      <c r="T166" s="19">
        <f t="shared" ref="T166:T171" si="103">P166/((J117/1000)*(K166/100))</f>
        <v>38.685620039555182</v>
      </c>
      <c r="U166" s="18">
        <v>6.7456759176245731</v>
      </c>
    </row>
    <row r="167" spans="1:21" ht="12.75" customHeight="1" x14ac:dyDescent="0.45">
      <c r="A167" s="18" t="s">
        <v>24</v>
      </c>
      <c r="B167" s="24" t="s">
        <v>19</v>
      </c>
      <c r="C167" s="39">
        <f t="shared" si="97"/>
        <v>71.247906601418208</v>
      </c>
      <c r="D167" s="39"/>
      <c r="E167" s="39"/>
      <c r="F167" s="39">
        <f t="shared" si="98"/>
        <v>75.053209143268816</v>
      </c>
      <c r="G167" s="39">
        <f t="shared" si="98"/>
        <v>84.261509838835309</v>
      </c>
      <c r="H167" s="39">
        <f t="shared" si="98"/>
        <v>70.058002212823055</v>
      </c>
      <c r="I167" s="39">
        <f t="shared" si="98"/>
        <v>52.354282251485508</v>
      </c>
      <c r="J167" s="39">
        <f t="shared" si="98"/>
        <v>69.223663723754754</v>
      </c>
      <c r="K167" s="39">
        <f t="shared" si="98"/>
        <v>68.358511652237368</v>
      </c>
      <c r="L167" s="39"/>
      <c r="M167" s="39">
        <f t="shared" si="99"/>
        <v>71.392321564577401</v>
      </c>
      <c r="N167" s="21"/>
      <c r="O167" s="21"/>
      <c r="P167" s="18">
        <v>67.955135707142915</v>
      </c>
      <c r="Q167" s="18">
        <f t="shared" si="100"/>
        <v>15.549356657011215</v>
      </c>
      <c r="R167" s="19">
        <f t="shared" si="101"/>
        <v>21.824299686443982</v>
      </c>
      <c r="S167" s="19">
        <f t="shared" si="102"/>
        <v>29.498088437025455</v>
      </c>
      <c r="T167" s="19">
        <f t="shared" si="103"/>
        <v>43.152034361268875</v>
      </c>
      <c r="U167" s="18">
        <v>6.2389584778030098</v>
      </c>
    </row>
    <row r="168" spans="1:21" ht="12.75" customHeight="1" x14ac:dyDescent="0.45">
      <c r="A168" s="18" t="s">
        <v>23</v>
      </c>
      <c r="B168" s="24" t="s">
        <v>17</v>
      </c>
      <c r="C168" s="39">
        <f t="shared" si="97"/>
        <v>75.269938570217931</v>
      </c>
      <c r="D168" s="39"/>
      <c r="E168" s="39"/>
      <c r="F168" s="39">
        <f t="shared" si="98"/>
        <v>73.701241113106136</v>
      </c>
      <c r="G168" s="39">
        <f t="shared" si="98"/>
        <v>85.954601100480588</v>
      </c>
      <c r="H168" s="39">
        <f t="shared" si="98"/>
        <v>75.203237655323193</v>
      </c>
      <c r="I168" s="39">
        <f t="shared" si="98"/>
        <v>59.192702717390823</v>
      </c>
      <c r="J168" s="39">
        <f t="shared" si="98"/>
        <v>73.911238301352157</v>
      </c>
      <c r="K168" s="39">
        <f t="shared" si="98"/>
        <v>74.574284155927657</v>
      </c>
      <c r="L168" s="39"/>
      <c r="M168" s="39">
        <f t="shared" si="99"/>
        <v>75.491861720848618</v>
      </c>
      <c r="N168" s="21"/>
      <c r="O168" s="21"/>
      <c r="P168" s="18">
        <v>60.972243882142877</v>
      </c>
      <c r="Q168" s="18">
        <f t="shared" si="100"/>
        <v>13.95154547829201</v>
      </c>
      <c r="R168" s="19">
        <f t="shared" si="101"/>
        <v>18.535348564522703</v>
      </c>
      <c r="S168" s="19">
        <f t="shared" si="102"/>
        <v>26.466942101188149</v>
      </c>
      <c r="T168" s="19">
        <f t="shared" si="103"/>
        <v>35.490708896177019</v>
      </c>
      <c r="U168" s="18">
        <v>6.4184209044064797</v>
      </c>
    </row>
    <row r="169" spans="1:21" ht="12.75" customHeight="1" x14ac:dyDescent="0.45">
      <c r="A169" s="18" t="s">
        <v>22</v>
      </c>
      <c r="B169" s="24" t="s">
        <v>21</v>
      </c>
      <c r="C169" s="39">
        <f t="shared" si="97"/>
        <v>67.265202793128921</v>
      </c>
      <c r="D169" s="39"/>
      <c r="E169" s="39"/>
      <c r="F169" s="39">
        <f t="shared" si="98"/>
        <v>71.284191335419337</v>
      </c>
      <c r="G169" s="39">
        <f t="shared" si="98"/>
        <v>83.976034360191051</v>
      </c>
      <c r="H169" s="39">
        <f t="shared" si="98"/>
        <v>64.680208425669122</v>
      </c>
      <c r="I169" s="39">
        <f t="shared" si="98"/>
        <v>44.178730151811422</v>
      </c>
      <c r="J169" s="39">
        <f t="shared" si="98"/>
        <v>64.144244055430946</v>
      </c>
      <c r="K169" s="39">
        <f t="shared" si="98"/>
        <v>63.019034898645486</v>
      </c>
      <c r="L169" s="39"/>
      <c r="M169" s="39">
        <f t="shared" si="99"/>
        <v>67.568796199141644</v>
      </c>
      <c r="N169" s="21"/>
      <c r="O169" s="21"/>
      <c r="P169" s="19">
        <v>60.833848521428578</v>
      </c>
      <c r="Q169" s="18">
        <f t="shared" si="100"/>
        <v>12.707259252761951</v>
      </c>
      <c r="R169" s="19">
        <f t="shared" si="101"/>
        <v>18.891282156455471</v>
      </c>
      <c r="S169" s="19">
        <f t="shared" si="102"/>
        <v>23.808435786268397</v>
      </c>
      <c r="T169" s="19">
        <f t="shared" si="103"/>
        <v>37.779753092950223</v>
      </c>
      <c r="U169" s="18">
        <v>6.5462894049843987</v>
      </c>
    </row>
    <row r="170" spans="1:21" ht="12.75" customHeight="1" x14ac:dyDescent="0.45">
      <c r="A170" s="18" t="s">
        <v>20</v>
      </c>
      <c r="B170" s="24" t="s">
        <v>19</v>
      </c>
      <c r="C170" s="39">
        <f t="shared" si="97"/>
        <v>78.582089827504348</v>
      </c>
      <c r="D170" s="39"/>
      <c r="E170" s="39"/>
      <c r="F170" s="39">
        <f t="shared" si="98"/>
        <v>76.931607064878165</v>
      </c>
      <c r="G170" s="39">
        <f t="shared" si="98"/>
        <v>81.587155644055514</v>
      </c>
      <c r="H170" s="39">
        <f t="shared" si="98"/>
        <v>79.829660900320562</v>
      </c>
      <c r="I170" s="39">
        <f t="shared" si="98"/>
        <v>65.862128668197087</v>
      </c>
      <c r="J170" s="39">
        <f t="shared" si="98"/>
        <v>77.093916328783735</v>
      </c>
      <c r="K170" s="39">
        <f t="shared" si="98"/>
        <v>78.278486806469203</v>
      </c>
      <c r="L170" s="39"/>
      <c r="M170" s="39">
        <f t="shared" si="99"/>
        <v>77.945535473481854</v>
      </c>
      <c r="N170" s="21"/>
      <c r="O170" s="21"/>
      <c r="P170" s="19">
        <v>63.947593266071436</v>
      </c>
      <c r="Q170" s="18">
        <f t="shared" si="100"/>
        <v>13.357672841229304</v>
      </c>
      <c r="R170" s="19">
        <f t="shared" si="101"/>
        <v>16.998368038506932</v>
      </c>
      <c r="S170" s="19">
        <f t="shared" si="102"/>
        <v>25.027056564165537</v>
      </c>
      <c r="T170" s="19">
        <f t="shared" si="103"/>
        <v>31.971819570351247</v>
      </c>
      <c r="U170" s="18">
        <v>5.8724066721183572</v>
      </c>
    </row>
    <row r="171" spans="1:21" ht="12.75" customHeight="1" x14ac:dyDescent="0.45">
      <c r="A171" s="18" t="s">
        <v>18</v>
      </c>
      <c r="B171" s="24" t="s">
        <v>17</v>
      </c>
      <c r="C171" s="39">
        <f t="shared" si="97"/>
        <v>73.814643083097835</v>
      </c>
      <c r="D171" s="39"/>
      <c r="E171" s="39"/>
      <c r="F171" s="39">
        <f t="shared" si="98"/>
        <v>73.181955996046923</v>
      </c>
      <c r="G171" s="39">
        <f t="shared" si="98"/>
        <v>79.41188296616707</v>
      </c>
      <c r="H171" s="39">
        <f t="shared" si="98"/>
        <v>71.845000051449802</v>
      </c>
      <c r="I171" s="39">
        <f t="shared" si="98"/>
        <v>59.825684996723204</v>
      </c>
      <c r="J171" s="39">
        <f t="shared" si="98"/>
        <v>71.90116729597942</v>
      </c>
      <c r="K171" s="39">
        <f t="shared" si="98"/>
        <v>71.766366541030152</v>
      </c>
      <c r="L171" s="39"/>
      <c r="M171" s="39">
        <f t="shared" si="99"/>
        <v>73.589240107128958</v>
      </c>
      <c r="N171" s="21"/>
      <c r="O171" s="21"/>
      <c r="P171" s="19">
        <v>59.133438800000036</v>
      </c>
      <c r="Q171" s="18">
        <f t="shared" si="100"/>
        <v>12.3520697046521</v>
      </c>
      <c r="R171" s="19">
        <f t="shared" si="101"/>
        <v>16.733901552225337</v>
      </c>
      <c r="S171" s="19">
        <f t="shared" si="102"/>
        <v>23.142949438668385</v>
      </c>
      <c r="T171" s="19">
        <f t="shared" si="103"/>
        <v>32.247625948064595</v>
      </c>
      <c r="U171" s="18">
        <v>5.8724066721183572</v>
      </c>
    </row>
    <row r="172" spans="1:21" ht="12.75" customHeight="1" x14ac:dyDescent="0.45">
      <c r="B172" s="130" t="s">
        <v>119</v>
      </c>
      <c r="C172" s="22">
        <f>AVERAGE(C166:C169)</f>
        <v>69.328250332189185</v>
      </c>
      <c r="D172" s="22"/>
      <c r="E172" s="22"/>
      <c r="F172" s="22">
        <f t="shared" ref="F172:M172" si="104">AVERAGE(F166:F171)</f>
        <v>72.441768965115145</v>
      </c>
      <c r="G172" s="22">
        <f t="shared" si="104"/>
        <v>81.753270564855669</v>
      </c>
      <c r="H172" s="22">
        <f t="shared" si="104"/>
        <v>70.823993726312509</v>
      </c>
      <c r="I172" s="22">
        <f t="shared" si="104"/>
        <v>53.189336505197844</v>
      </c>
      <c r="J172" s="22">
        <f t="shared" si="104"/>
        <v>69.587808543969345</v>
      </c>
      <c r="K172" s="22">
        <f t="shared" si="104"/>
        <v>69.464655501329631</v>
      </c>
      <c r="L172" s="22" t="e">
        <f t="shared" si="104"/>
        <v>#DIV/0!</v>
      </c>
      <c r="M172" s="22">
        <f t="shared" si="104"/>
        <v>71.661691578529982</v>
      </c>
      <c r="N172" s="22"/>
      <c r="O172" s="22"/>
      <c r="P172" s="19"/>
      <c r="Q172" s="19"/>
      <c r="R172" s="19"/>
    </row>
    <row r="173" spans="1:21" ht="12.75" customHeight="1" x14ac:dyDescent="0.45">
      <c r="N173" s="19"/>
      <c r="O173" s="19"/>
      <c r="P173" s="19"/>
    </row>
    <row r="174" spans="1:21" ht="12.75" customHeight="1" x14ac:dyDescent="0.45">
      <c r="B174" s="52" t="s">
        <v>127</v>
      </c>
      <c r="C174" s="51"/>
      <c r="D174" s="50"/>
      <c r="G174" s="50"/>
      <c r="H174" s="19"/>
      <c r="I174" s="19"/>
      <c r="J174" s="52" t="s">
        <v>128</v>
      </c>
      <c r="M174" s="19"/>
      <c r="N174" s="19"/>
      <c r="O174" s="19"/>
    </row>
    <row r="175" spans="1:21" ht="12.75" customHeight="1" x14ac:dyDescent="0.45">
      <c r="B175" s="61" t="s">
        <v>60</v>
      </c>
      <c r="C175" s="61" t="s">
        <v>59</v>
      </c>
      <c r="D175" s="61" t="s">
        <v>58</v>
      </c>
      <c r="E175" s="61" t="s">
        <v>133</v>
      </c>
      <c r="F175" s="61" t="s">
        <v>134</v>
      </c>
      <c r="G175" s="61" t="s">
        <v>135</v>
      </c>
      <c r="H175" s="31" t="s">
        <v>57</v>
      </c>
      <c r="J175" s="61" t="s">
        <v>58</v>
      </c>
      <c r="K175" s="61" t="s">
        <v>133</v>
      </c>
      <c r="L175" s="61" t="s">
        <v>134</v>
      </c>
      <c r="M175" s="61" t="s">
        <v>135</v>
      </c>
      <c r="N175" s="31" t="s">
        <v>57</v>
      </c>
      <c r="O175" s="19"/>
    </row>
    <row r="176" spans="1:21" ht="12.75" customHeight="1" x14ac:dyDescent="0.45">
      <c r="A176" s="18" t="s">
        <v>23</v>
      </c>
      <c r="B176" s="58" t="s">
        <v>56</v>
      </c>
      <c r="C176" s="39">
        <f>C103/F5</f>
        <v>65.36262970764794</v>
      </c>
      <c r="D176" s="39">
        <f>E103/6.25/F5</f>
        <v>1.2402118220301759</v>
      </c>
      <c r="E176" s="39">
        <f>F128/6.25/F5</f>
        <v>0.3757616836653816</v>
      </c>
      <c r="F176" s="39">
        <f>Q128/F5</f>
        <v>0.80914159824107901</v>
      </c>
      <c r="G176" s="39">
        <f t="shared" ref="G176:G181" si="105">E176+F176</f>
        <v>1.1849032819064607</v>
      </c>
      <c r="H176" s="39">
        <f t="shared" ref="H176:H181" si="106">D176-G176</f>
        <v>5.5308540123715222E-2</v>
      </c>
      <c r="J176" s="39">
        <f>E103/6.25</f>
        <v>83.065856000000025</v>
      </c>
      <c r="K176" s="39">
        <f t="shared" ref="K176:K181" si="107">F128/6.25</f>
        <v>25.167447488584493</v>
      </c>
      <c r="L176" s="39">
        <f>Q128</f>
        <v>54.193999999999996</v>
      </c>
      <c r="M176" s="39">
        <f t="shared" ref="M176:M181" si="108">K176+L176</f>
        <v>79.361447488584488</v>
      </c>
      <c r="N176" s="39">
        <f t="shared" ref="N176:N181" si="109">J176-M176</f>
        <v>3.7044085114155365</v>
      </c>
      <c r="O176" s="19"/>
    </row>
    <row r="177" spans="1:18" ht="12.75" customHeight="1" x14ac:dyDescent="0.45">
      <c r="A177" s="18" t="s">
        <v>25</v>
      </c>
      <c r="B177" s="58" t="s">
        <v>55</v>
      </c>
      <c r="C177" s="39">
        <f>C104/F6</f>
        <v>63.196713201478886</v>
      </c>
      <c r="D177" s="39">
        <f>E104/6.25/F6</f>
        <v>1.1991150168909719</v>
      </c>
      <c r="E177" s="39">
        <f>F129/6.25/F6</f>
        <v>0.50333148900383762</v>
      </c>
      <c r="F177" s="39">
        <f>Q129/F6</f>
        <v>0.66289163810444141</v>
      </c>
      <c r="G177" s="39">
        <f t="shared" si="105"/>
        <v>1.166223127108279</v>
      </c>
      <c r="H177" s="39">
        <f t="shared" si="106"/>
        <v>3.2891889782692862E-2</v>
      </c>
      <c r="J177" s="39">
        <f>E104/6.26</f>
        <v>82.933162939297148</v>
      </c>
      <c r="K177" s="39">
        <f t="shared" si="107"/>
        <v>34.867098148984205</v>
      </c>
      <c r="L177" s="21">
        <v>45.920250000000003</v>
      </c>
      <c r="M177" s="39">
        <f t="shared" si="108"/>
        <v>80.787348148984208</v>
      </c>
      <c r="N177" s="39">
        <f t="shared" si="109"/>
        <v>2.1458147903129401</v>
      </c>
      <c r="O177" s="19"/>
    </row>
    <row r="178" spans="1:18" ht="12.75" customHeight="1" x14ac:dyDescent="0.45">
      <c r="A178" s="18" t="s">
        <v>24</v>
      </c>
      <c r="B178" s="58" t="s">
        <v>54</v>
      </c>
      <c r="C178" s="39">
        <f>C105/F7</f>
        <v>66.00061421083015</v>
      </c>
      <c r="D178" s="39">
        <f>E105/6.25/F7</f>
        <v>1.2523171477592301</v>
      </c>
      <c r="E178" s="39">
        <f>F130/6.25/F7</f>
        <v>0.42982442897950845</v>
      </c>
      <c r="F178" s="39">
        <f>Q130/F7</f>
        <v>0.51908851351026863</v>
      </c>
      <c r="G178" s="39">
        <f t="shared" si="105"/>
        <v>0.94891294248977709</v>
      </c>
      <c r="H178" s="39">
        <f t="shared" si="106"/>
        <v>0.303404205269453</v>
      </c>
      <c r="J178" s="39">
        <f>E105/6.25</f>
        <v>83.065856000000025</v>
      </c>
      <c r="K178" s="39">
        <f t="shared" si="107"/>
        <v>28.510137537267415</v>
      </c>
      <c r="L178" s="21">
        <v>34.430999999999997</v>
      </c>
      <c r="M178" s="39">
        <f t="shared" si="108"/>
        <v>62.941137537267409</v>
      </c>
      <c r="N178" s="39">
        <f t="shared" si="109"/>
        <v>20.124718462732616</v>
      </c>
    </row>
    <row r="179" spans="1:18" ht="12.75" customHeight="1" x14ac:dyDescent="0.45">
      <c r="A179" s="27" t="s">
        <v>18</v>
      </c>
      <c r="B179" s="58" t="s">
        <v>56</v>
      </c>
      <c r="C179" s="39">
        <f>C106/F10</f>
        <v>61.660395383840601</v>
      </c>
      <c r="D179" s="39">
        <f>E106/6.25/F10</f>
        <v>1.1571135400353623</v>
      </c>
      <c r="E179" s="39">
        <f>F131/6.25/F10</f>
        <v>0.23239412655263034</v>
      </c>
      <c r="F179" s="39">
        <f>Q131/F10</f>
        <v>0.96921421151885212</v>
      </c>
      <c r="G179" s="39">
        <f t="shared" si="105"/>
        <v>1.2016083380714824</v>
      </c>
      <c r="H179" s="39">
        <f t="shared" si="106"/>
        <v>-4.4494798036120109E-2</v>
      </c>
      <c r="J179" s="39">
        <f>E106/6.25</f>
        <v>89.997312000000022</v>
      </c>
      <c r="K179" s="39">
        <f t="shared" si="107"/>
        <v>18.075016833426208</v>
      </c>
      <c r="L179" s="21">
        <v>75.382986000000002</v>
      </c>
      <c r="M179" s="39">
        <f t="shared" si="108"/>
        <v>93.458002833426207</v>
      </c>
      <c r="N179" s="39">
        <f t="shared" si="109"/>
        <v>-3.4606908334261846</v>
      </c>
      <c r="O179" s="19"/>
      <c r="P179" s="59"/>
      <c r="Q179" s="60"/>
    </row>
    <row r="180" spans="1:18" ht="12.75" customHeight="1" x14ac:dyDescent="0.45">
      <c r="A180" s="27" t="s">
        <v>22</v>
      </c>
      <c r="B180" s="58" t="s">
        <v>55</v>
      </c>
      <c r="C180" s="39">
        <f>C107/F11</f>
        <v>54.126761875873783</v>
      </c>
      <c r="D180" s="39">
        <f>E107/6.25/F11</f>
        <v>1.015738038249056</v>
      </c>
      <c r="E180" s="39">
        <f>F132/6.25/F11</f>
        <v>0.2835546079172388</v>
      </c>
      <c r="F180" s="39">
        <f>Q132/F11</f>
        <v>0.65188628468400489</v>
      </c>
      <c r="G180" s="39">
        <f t="shared" si="105"/>
        <v>0.93544089260124363</v>
      </c>
      <c r="H180" s="39">
        <f t="shared" si="106"/>
        <v>8.0297145647812318E-2</v>
      </c>
      <c r="J180" s="39">
        <f>E107/6.25</f>
        <v>89.997312000000022</v>
      </c>
      <c r="K180" s="39">
        <f t="shared" si="107"/>
        <v>25.12375391764958</v>
      </c>
      <c r="L180" s="21">
        <v>57.759</v>
      </c>
      <c r="M180" s="39">
        <f t="shared" si="108"/>
        <v>82.88275391764958</v>
      </c>
      <c r="N180" s="39">
        <f t="shared" si="109"/>
        <v>7.1145580823504417</v>
      </c>
      <c r="P180" s="59"/>
    </row>
    <row r="181" spans="1:18" ht="12.75" customHeight="1" x14ac:dyDescent="0.45">
      <c r="A181" s="27" t="s">
        <v>20</v>
      </c>
      <c r="B181" s="58" t="s">
        <v>54</v>
      </c>
      <c r="C181" s="39">
        <f>C108/F12</f>
        <v>58.950911832403612</v>
      </c>
      <c r="D181" s="39">
        <f>E108/6.25/F12</f>
        <v>1.1062676107422704</v>
      </c>
      <c r="E181" s="39">
        <f>F133/6.25/F12</f>
        <v>0.26041742107919463</v>
      </c>
      <c r="F181" s="39">
        <f>Q133/F12</f>
        <v>0.6101862708660265</v>
      </c>
      <c r="G181" s="39">
        <f t="shared" si="105"/>
        <v>0.87060369194522114</v>
      </c>
      <c r="H181" s="39">
        <f t="shared" si="106"/>
        <v>0.23566391879704929</v>
      </c>
      <c r="J181" s="39">
        <f>E108/6.25</f>
        <v>89.997312000000022</v>
      </c>
      <c r="K181" s="39">
        <f t="shared" si="107"/>
        <v>21.185532024547175</v>
      </c>
      <c r="L181" s="21">
        <v>49.64</v>
      </c>
      <c r="M181" s="39">
        <f t="shared" si="108"/>
        <v>70.825532024547172</v>
      </c>
      <c r="N181" s="39">
        <f t="shared" si="109"/>
        <v>19.17177997545285</v>
      </c>
      <c r="O181" s="19"/>
    </row>
    <row r="182" spans="1:18" ht="12.75" customHeight="1" x14ac:dyDescent="0.45">
      <c r="A182" s="27"/>
      <c r="B182" s="128" t="s">
        <v>119</v>
      </c>
      <c r="C182" s="54"/>
      <c r="D182" s="54">
        <f>AVERAGE(D176,D177,D178,D179,D180,D181)</f>
        <v>1.1617938626178443</v>
      </c>
      <c r="E182" s="54">
        <f>AVERAGE(E176,E177,E178,E179,E180,E181)</f>
        <v>0.3475472928662986</v>
      </c>
      <c r="F182" s="54">
        <f>AVERAGE(F176,F177,F178,F179,F180,F181)</f>
        <v>0.7037347528207788</v>
      </c>
      <c r="G182" s="54">
        <f>AVERAGE(G176,G177,G178,G179,G180,G181)</f>
        <v>1.0512820456870773</v>
      </c>
      <c r="H182" s="54">
        <f>AVERAGE(H176,H177,H178,H179,H180,H181)</f>
        <v>0.1105118169307671</v>
      </c>
      <c r="J182" s="53">
        <f>AVERAGE(J176,J177,J178,J179,J180,J181)</f>
        <v>86.509468489882877</v>
      </c>
      <c r="K182" s="53">
        <f>AVERAGE(K176,K177,K178,K179,K180,K181)</f>
        <v>25.488164325076511</v>
      </c>
      <c r="L182" s="53">
        <f>AVERAGE(L176,L177,L178,L179,L180,L181)</f>
        <v>52.887872666666674</v>
      </c>
      <c r="M182" s="53">
        <f>AVERAGE(M176,M177,M178,M179,M180,M181)</f>
        <v>78.376036991743177</v>
      </c>
      <c r="N182" s="53">
        <f>AVERAGE(N176,N177,N178,N179,N180,N181)</f>
        <v>8.1334314981397</v>
      </c>
      <c r="O182" s="19"/>
    </row>
    <row r="183" spans="1:18" ht="12.75" customHeight="1" x14ac:dyDescent="0.45">
      <c r="A183" s="27" t="s">
        <v>24</v>
      </c>
      <c r="B183" s="57" t="s">
        <v>53</v>
      </c>
      <c r="C183" s="41">
        <f t="shared" ref="C183:C188" si="110">C110/F19</f>
        <v>65.562946202854533</v>
      </c>
      <c r="D183" s="41">
        <f t="shared" ref="D183:D188" si="111">E110/6.25/F19</f>
        <v>1.2450592705680203</v>
      </c>
      <c r="E183" s="41">
        <f t="shared" ref="E183:E188" si="112">F135/6.25/F19</f>
        <v>0.25858805204216312</v>
      </c>
      <c r="F183" s="41">
        <f t="shared" ref="F183:F188" si="113">Q135/F19</f>
        <v>0.68190389504592408</v>
      </c>
      <c r="G183" s="41">
        <f t="shared" ref="G183:G188" si="114">E183+F183</f>
        <v>0.94049194708808725</v>
      </c>
      <c r="H183" s="41">
        <f t="shared" ref="H183:H188" si="115">D183-G183</f>
        <v>0.30456732347993309</v>
      </c>
      <c r="J183" s="39">
        <f t="shared" ref="J183:J188" si="116">E110/6.25</f>
        <v>82.584442978778171</v>
      </c>
      <c r="K183" s="39">
        <f t="shared" ref="K183:K188" si="117">F135/6.25</f>
        <v>17.152075201308783</v>
      </c>
      <c r="L183" s="25">
        <v>45.230500000000006</v>
      </c>
      <c r="M183" s="41">
        <f t="shared" ref="M183:M188" si="118">K183+L183</f>
        <v>62.382575201308789</v>
      </c>
      <c r="N183" s="41">
        <f t="shared" ref="N183:N188" si="119">J183-M183</f>
        <v>20.201867777469381</v>
      </c>
    </row>
    <row r="184" spans="1:18" ht="12.75" customHeight="1" x14ac:dyDescent="0.45">
      <c r="A184" s="27" t="s">
        <v>23</v>
      </c>
      <c r="B184" s="57" t="s">
        <v>52</v>
      </c>
      <c r="C184" s="41">
        <f t="shared" si="110"/>
        <v>64.929192348280154</v>
      </c>
      <c r="D184" s="41">
        <f t="shared" si="111"/>
        <v>1.2330241019614319</v>
      </c>
      <c r="E184" s="41">
        <f t="shared" si="112"/>
        <v>0.37870207563481706</v>
      </c>
      <c r="F184" s="41">
        <f t="shared" si="113"/>
        <v>0.83946537183276138</v>
      </c>
      <c r="G184" s="41">
        <f t="shared" si="114"/>
        <v>1.2181674474675783</v>
      </c>
      <c r="H184" s="41">
        <f t="shared" si="115"/>
        <v>1.4856654493853538E-2</v>
      </c>
      <c r="J184" s="39">
        <f t="shared" si="116"/>
        <v>82.584442978778171</v>
      </c>
      <c r="K184" s="39">
        <f t="shared" si="117"/>
        <v>25.364386569133544</v>
      </c>
      <c r="L184" s="25">
        <v>56.224999999999994</v>
      </c>
      <c r="M184" s="41">
        <f t="shared" si="118"/>
        <v>81.589386569133538</v>
      </c>
      <c r="N184" s="41">
        <f t="shared" si="119"/>
        <v>0.99505640964463282</v>
      </c>
    </row>
    <row r="185" spans="1:18" ht="12.75" customHeight="1" x14ac:dyDescent="0.45">
      <c r="A185" s="18" t="s">
        <v>25</v>
      </c>
      <c r="B185" s="57" t="s">
        <v>51</v>
      </c>
      <c r="C185" s="41">
        <f t="shared" si="110"/>
        <v>62.77763862303415</v>
      </c>
      <c r="D185" s="41">
        <f t="shared" si="111"/>
        <v>1.1921654757573203</v>
      </c>
      <c r="E185" s="41">
        <f t="shared" si="112"/>
        <v>0.41077369930448759</v>
      </c>
      <c r="F185" s="41">
        <f t="shared" si="113"/>
        <v>0.84693363587611614</v>
      </c>
      <c r="G185" s="41">
        <f t="shared" si="114"/>
        <v>1.2577073351806036</v>
      </c>
      <c r="H185" s="41">
        <f t="shared" si="115"/>
        <v>-6.5541859423283277E-2</v>
      </c>
      <c r="J185" s="39">
        <f t="shared" si="116"/>
        <v>82.584442978778171</v>
      </c>
      <c r="K185" s="39">
        <f t="shared" si="117"/>
        <v>28.455376235285954</v>
      </c>
      <c r="L185" s="25">
        <v>58.66932400000001</v>
      </c>
      <c r="M185" s="41">
        <f t="shared" si="118"/>
        <v>87.124700235285957</v>
      </c>
      <c r="N185" s="41">
        <f t="shared" si="119"/>
        <v>-4.5402572565077861</v>
      </c>
    </row>
    <row r="186" spans="1:18" ht="12.75" customHeight="1" x14ac:dyDescent="0.45">
      <c r="A186" s="18" t="s">
        <v>20</v>
      </c>
      <c r="B186" s="57" t="s">
        <v>53</v>
      </c>
      <c r="C186" s="41">
        <f t="shared" si="110"/>
        <v>58.549457451713288</v>
      </c>
      <c r="D186" s="41">
        <f t="shared" si="111"/>
        <v>1.0996102664999974</v>
      </c>
      <c r="E186" s="41">
        <f t="shared" si="112"/>
        <v>0.23047247107672125</v>
      </c>
      <c r="F186" s="41">
        <f t="shared" si="113"/>
        <v>0.51950649406951799</v>
      </c>
      <c r="G186" s="41">
        <f t="shared" si="114"/>
        <v>0.74997896514623918</v>
      </c>
      <c r="H186" s="41">
        <f t="shared" si="115"/>
        <v>0.34963130135375819</v>
      </c>
      <c r="J186" s="39">
        <f t="shared" si="116"/>
        <v>89.455722351125416</v>
      </c>
      <c r="K186" s="39">
        <f t="shared" si="117"/>
        <v>18.749444244313999</v>
      </c>
      <c r="L186" s="25">
        <v>42.262999999999998</v>
      </c>
      <c r="M186" s="41">
        <f t="shared" si="118"/>
        <v>61.012444244313997</v>
      </c>
      <c r="N186" s="41">
        <f t="shared" si="119"/>
        <v>28.44327810681142</v>
      </c>
      <c r="P186" s="19"/>
      <c r="Q186" s="19"/>
    </row>
    <row r="187" spans="1:18" ht="12.75" customHeight="1" x14ac:dyDescent="0.45">
      <c r="A187" s="18" t="s">
        <v>18</v>
      </c>
      <c r="B187" s="57" t="s">
        <v>52</v>
      </c>
      <c r="C187" s="41">
        <f t="shared" si="110"/>
        <v>61.240489481242939</v>
      </c>
      <c r="D187" s="41">
        <f t="shared" si="111"/>
        <v>1.1501502129989303</v>
      </c>
      <c r="E187" s="41">
        <f t="shared" si="112"/>
        <v>0.27859235431177826</v>
      </c>
      <c r="F187" s="41">
        <f t="shared" si="113"/>
        <v>0.71280322971824384</v>
      </c>
      <c r="G187" s="41">
        <f t="shared" si="114"/>
        <v>0.99139558403002215</v>
      </c>
      <c r="H187" s="41">
        <f t="shared" si="115"/>
        <v>0.15875462896890813</v>
      </c>
      <c r="J187" s="39">
        <f t="shared" si="116"/>
        <v>89.455722351125416</v>
      </c>
      <c r="K187" s="39">
        <f t="shared" si="117"/>
        <v>21.668196045001274</v>
      </c>
      <c r="L187" s="25">
        <v>55.44</v>
      </c>
      <c r="M187" s="41">
        <f t="shared" si="118"/>
        <v>77.108196045001279</v>
      </c>
      <c r="N187" s="41">
        <f t="shared" si="119"/>
        <v>12.347526306124138</v>
      </c>
      <c r="P187" s="20"/>
      <c r="Q187" s="20"/>
    </row>
    <row r="188" spans="1:18" ht="12.75" customHeight="1" x14ac:dyDescent="0.45">
      <c r="A188" s="18" t="s">
        <v>22</v>
      </c>
      <c r="B188" s="57" t="s">
        <v>51</v>
      </c>
      <c r="C188" s="41">
        <f t="shared" si="110"/>
        <v>53.758159847640052</v>
      </c>
      <c r="D188" s="41">
        <f t="shared" si="111"/>
        <v>1.0096254867154737</v>
      </c>
      <c r="E188" s="41">
        <f t="shared" si="112"/>
        <v>0.29989589416218398</v>
      </c>
      <c r="F188" s="41">
        <f t="shared" si="113"/>
        <v>0.64582553337467963</v>
      </c>
      <c r="G188" s="41">
        <f t="shared" si="114"/>
        <v>0.94572142753686361</v>
      </c>
      <c r="H188" s="41">
        <f t="shared" si="115"/>
        <v>6.3904059178610084E-2</v>
      </c>
      <c r="J188" s="39">
        <f t="shared" si="116"/>
        <v>89.455722351125416</v>
      </c>
      <c r="K188" s="39">
        <f t="shared" si="117"/>
        <v>26.571638885315853</v>
      </c>
      <c r="L188" s="25">
        <v>57.221999999999994</v>
      </c>
      <c r="M188" s="41">
        <f t="shared" si="118"/>
        <v>83.793638885315843</v>
      </c>
      <c r="N188" s="41">
        <f t="shared" si="119"/>
        <v>5.6620834658095731</v>
      </c>
      <c r="Q188" s="20"/>
      <c r="R188" s="20"/>
    </row>
    <row r="189" spans="1:18" ht="12.75" customHeight="1" x14ac:dyDescent="0.45">
      <c r="B189" s="129" t="s">
        <v>119</v>
      </c>
      <c r="C189" s="43"/>
      <c r="D189" s="43">
        <v>0.3475472928662986</v>
      </c>
      <c r="E189" s="43">
        <f>AVERAGE(E183,E184,E185,E186,E187,E188)</f>
        <v>0.30950409108869187</v>
      </c>
      <c r="F189" s="43">
        <f>AVERAGE(F183,F184,F185,F186,F187,F188)</f>
        <v>0.70773969331954056</v>
      </c>
      <c r="G189" s="43">
        <f>AVERAGE(G183,G184,G185,G186,G187,G188)</f>
        <v>1.0172437844082325</v>
      </c>
      <c r="H189" s="43">
        <f>AVERAGE(H183,H184,H185,H186,H187,H188)</f>
        <v>0.13769535134196328</v>
      </c>
      <c r="J189" s="53">
        <f>AVERAGE(J183,J184,J185,J186,J187,J188)</f>
        <v>86.020082664951801</v>
      </c>
      <c r="K189" s="53">
        <f>AVERAGE(K183,K184,K185,K186,K187,K188)</f>
        <v>22.993519530059899</v>
      </c>
      <c r="L189" s="53">
        <f>AVERAGE(L183,L184,L185,L186,L187,L188)</f>
        <v>52.508304000000003</v>
      </c>
      <c r="M189" s="53">
        <f>AVERAGE(M183,M184,M185,M186,M187,M188)</f>
        <v>75.501823530059895</v>
      </c>
      <c r="N189" s="53">
        <f>AVERAGE(N183,N184,N185,N186,N187,N188)</f>
        <v>10.518259134891894</v>
      </c>
    </row>
    <row r="190" spans="1:18" ht="12.75" customHeight="1" x14ac:dyDescent="0.45">
      <c r="A190" s="18" t="s">
        <v>25</v>
      </c>
      <c r="B190" s="56" t="s">
        <v>50</v>
      </c>
      <c r="C190" s="39">
        <f t="shared" ref="C190:C195" si="120">C117/F28</f>
        <v>63.088202819560138</v>
      </c>
      <c r="D190" s="39">
        <f t="shared" ref="D190:D195" si="121">E117/6.25/F28</f>
        <v>1.1973155821331511</v>
      </c>
      <c r="E190" s="39">
        <f t="shared" ref="E190:E195" si="122">F142/6.25/F28</f>
        <v>0.42506607929622636</v>
      </c>
      <c r="F190" s="39">
        <f t="shared" ref="F190:F195" si="123">Q142/F28</f>
        <v>0.87070097225075993</v>
      </c>
      <c r="G190" s="39">
        <f t="shared" ref="G190:G195" si="124">E190+F190</f>
        <v>1.2957670515469863</v>
      </c>
      <c r="H190" s="39">
        <f t="shared" ref="H190:H195" si="125">D190-G190</f>
        <v>-9.8451469413835202E-2</v>
      </c>
      <c r="J190" s="39">
        <f t="shared" ref="J190:J195" si="126">E117/6.25</f>
        <v>82.941204414147919</v>
      </c>
      <c r="K190" s="39">
        <f t="shared" ref="K190:K195" si="127">F142/6.25</f>
        <v>29.445447047149532</v>
      </c>
      <c r="L190" s="21">
        <v>60.315750000000001</v>
      </c>
      <c r="M190" s="39">
        <f t="shared" ref="M190:M195" si="128">K190+L190</f>
        <v>89.761197047149537</v>
      </c>
      <c r="N190" s="39">
        <f t="shared" ref="N190:N195" si="129">J190-M190</f>
        <v>-6.8199926330016183</v>
      </c>
      <c r="O190" s="19"/>
      <c r="P190" s="19"/>
    </row>
    <row r="191" spans="1:18" ht="12.75" customHeight="1" x14ac:dyDescent="0.45">
      <c r="A191" s="18" t="s">
        <v>24</v>
      </c>
      <c r="B191" s="56" t="s">
        <v>49</v>
      </c>
      <c r="C191" s="55">
        <f t="shared" si="120"/>
        <v>65.887289458765011</v>
      </c>
      <c r="D191" s="39">
        <f t="shared" si="121"/>
        <v>1.2504378759865058</v>
      </c>
      <c r="E191" s="39">
        <f t="shared" si="122"/>
        <v>0.31194412171570529</v>
      </c>
      <c r="F191" s="39">
        <f t="shared" si="123"/>
        <v>0.77915289903645535</v>
      </c>
      <c r="G191" s="39">
        <f t="shared" si="124"/>
        <v>1.0910970207521606</v>
      </c>
      <c r="H191" s="39">
        <f t="shared" si="125"/>
        <v>0.15934085523434516</v>
      </c>
      <c r="J191" s="39">
        <f t="shared" si="126"/>
        <v>82.941204414147919</v>
      </c>
      <c r="K191" s="39">
        <f t="shared" si="127"/>
        <v>20.691168799251376</v>
      </c>
      <c r="L191" s="21">
        <v>51.680999999999997</v>
      </c>
      <c r="M191" s="39">
        <f t="shared" si="128"/>
        <v>72.372168799251369</v>
      </c>
      <c r="N191" s="39">
        <f t="shared" si="129"/>
        <v>10.569035614896549</v>
      </c>
      <c r="O191" s="19"/>
      <c r="P191" s="19"/>
    </row>
    <row r="192" spans="1:18" ht="12.75" customHeight="1" x14ac:dyDescent="0.45">
      <c r="A192" s="18" t="s">
        <v>23</v>
      </c>
      <c r="B192" s="56" t="s">
        <v>48</v>
      </c>
      <c r="C192" s="55">
        <f t="shared" si="120"/>
        <v>65.250400391383039</v>
      </c>
      <c r="D192" s="39">
        <f t="shared" si="121"/>
        <v>1.2383507159409473</v>
      </c>
      <c r="E192" s="39">
        <f t="shared" si="122"/>
        <v>0.32567086895943359</v>
      </c>
      <c r="F192" s="39">
        <f t="shared" si="123"/>
        <v>0.78322231170481105</v>
      </c>
      <c r="G192" s="39">
        <f t="shared" si="124"/>
        <v>1.1088931806642446</v>
      </c>
      <c r="H192" s="39">
        <f t="shared" si="125"/>
        <v>0.12945753527670267</v>
      </c>
      <c r="J192" s="39">
        <f t="shared" si="126"/>
        <v>82.941204414147919</v>
      </c>
      <c r="K192" s="39">
        <f t="shared" si="127"/>
        <v>21.812507366762528</v>
      </c>
      <c r="L192" s="21">
        <v>52.457999999999998</v>
      </c>
      <c r="M192" s="39">
        <f t="shared" si="128"/>
        <v>74.27050736676253</v>
      </c>
      <c r="N192" s="39">
        <f t="shared" si="129"/>
        <v>8.6706970473853886</v>
      </c>
    </row>
    <row r="193" spans="1:18" ht="12.75" customHeight="1" x14ac:dyDescent="0.45">
      <c r="A193" s="18" t="s">
        <v>22</v>
      </c>
      <c r="B193" s="56" t="s">
        <v>50</v>
      </c>
      <c r="C193" s="55">
        <f t="shared" si="120"/>
        <v>54.031320279277537</v>
      </c>
      <c r="D193" s="39">
        <f t="shared" si="121"/>
        <v>1.0141553240126817</v>
      </c>
      <c r="E193" s="39">
        <f t="shared" si="122"/>
        <v>0.29122290240513982</v>
      </c>
      <c r="F193" s="39">
        <f t="shared" si="123"/>
        <v>0.43682272530408339</v>
      </c>
      <c r="G193" s="39">
        <f t="shared" si="124"/>
        <v>0.72804562770922321</v>
      </c>
      <c r="H193" s="39">
        <f t="shared" si="125"/>
        <v>0.28610969630345851</v>
      </c>
      <c r="J193" s="39">
        <f t="shared" si="126"/>
        <v>89.857078965916401</v>
      </c>
      <c r="K193" s="39">
        <f t="shared" si="127"/>
        <v>25.803186867433716</v>
      </c>
      <c r="L193" s="21">
        <v>38.703749999999999</v>
      </c>
      <c r="M193" s="39">
        <f t="shared" si="128"/>
        <v>64.506936867433723</v>
      </c>
      <c r="N193" s="39">
        <f t="shared" si="129"/>
        <v>25.350142098482678</v>
      </c>
      <c r="O193" s="19"/>
      <c r="P193" s="19"/>
    </row>
    <row r="194" spans="1:18" ht="12.75" customHeight="1" x14ac:dyDescent="0.45">
      <c r="A194" s="18" t="s">
        <v>20</v>
      </c>
      <c r="B194" s="56" t="s">
        <v>49</v>
      </c>
      <c r="C194" s="55">
        <f t="shared" si="120"/>
        <v>58.846963823117711</v>
      </c>
      <c r="D194" s="39">
        <f t="shared" si="121"/>
        <v>1.1045438341081102</v>
      </c>
      <c r="E194" s="39">
        <f t="shared" si="122"/>
        <v>0.25480051179271923</v>
      </c>
      <c r="F194" s="39">
        <f t="shared" si="123"/>
        <v>0.75126012221798022</v>
      </c>
      <c r="G194" s="39">
        <f t="shared" si="124"/>
        <v>1.0060606340106995</v>
      </c>
      <c r="H194" s="39">
        <f t="shared" si="125"/>
        <v>9.8483200097410739E-2</v>
      </c>
      <c r="J194" s="39">
        <f t="shared" si="126"/>
        <v>89.857078965916401</v>
      </c>
      <c r="K194" s="39">
        <f t="shared" si="127"/>
        <v>20.728584055880315</v>
      </c>
      <c r="L194" s="21">
        <v>61.116669200000004</v>
      </c>
      <c r="M194" s="39">
        <f t="shared" si="128"/>
        <v>81.845253255880323</v>
      </c>
      <c r="N194" s="39">
        <f t="shared" si="129"/>
        <v>8.0118257100360779</v>
      </c>
    </row>
    <row r="195" spans="1:18" ht="12.75" customHeight="1" x14ac:dyDescent="0.45">
      <c r="A195" s="18" t="s">
        <v>18</v>
      </c>
      <c r="B195" s="56" t="s">
        <v>48</v>
      </c>
      <c r="C195" s="55">
        <f t="shared" si="120"/>
        <v>61.551669748346548</v>
      </c>
      <c r="D195" s="39">
        <f t="shared" si="121"/>
        <v>1.1553105357134288</v>
      </c>
      <c r="E195" s="39">
        <f t="shared" si="122"/>
        <v>0.30983168784993331</v>
      </c>
      <c r="F195" s="39">
        <f t="shared" si="123"/>
        <v>0.79303216466488602</v>
      </c>
      <c r="G195" s="39">
        <f t="shared" si="124"/>
        <v>1.1028638525148193</v>
      </c>
      <c r="H195" s="39">
        <f t="shared" si="125"/>
        <v>5.2446683198609456E-2</v>
      </c>
      <c r="J195" s="39">
        <f t="shared" si="126"/>
        <v>89.857078965916401</v>
      </c>
      <c r="K195" s="39">
        <f t="shared" si="127"/>
        <v>24.097910977746324</v>
      </c>
      <c r="L195" s="21">
        <v>61.68</v>
      </c>
      <c r="M195" s="39">
        <f t="shared" si="128"/>
        <v>85.77791097774633</v>
      </c>
      <c r="N195" s="39">
        <f t="shared" si="129"/>
        <v>4.0791679881700702</v>
      </c>
      <c r="O195" s="19"/>
      <c r="P195" s="19"/>
    </row>
    <row r="196" spans="1:18" ht="12.75" customHeight="1" x14ac:dyDescent="0.45">
      <c r="B196" s="129" t="s">
        <v>119</v>
      </c>
      <c r="C196" s="54"/>
      <c r="D196" s="54">
        <f>AVERAGE(D190,D191,D192,D193,D194,D195)</f>
        <v>1.160018977982471</v>
      </c>
      <c r="E196" s="54">
        <f>AVERAGE(E190,E191,E192,E193,E194,E195)</f>
        <v>0.31975602866985958</v>
      </c>
      <c r="F196" s="54">
        <f>AVERAGE(F190,F191,F192,F193,F194,F195)</f>
        <v>0.73569853252982931</v>
      </c>
      <c r="G196" s="54">
        <f>AVERAGE(G190,G191,G192,G193,G194,G195)</f>
        <v>1.0554545611996888</v>
      </c>
      <c r="H196" s="54">
        <f>AVERAGE(H190,H191,H192,H193,H194,H195)</f>
        <v>0.10456441678278189</v>
      </c>
      <c r="J196" s="53">
        <f>AVERAGE(J190,J191,J192,J193,J194,J195)</f>
        <v>86.399141690032152</v>
      </c>
      <c r="K196" s="53">
        <f>AVERAGE(K190,K191,K192,K193,K194,K195)</f>
        <v>23.763134185703962</v>
      </c>
      <c r="L196" s="53">
        <f>AVERAGE(L190,L191,L192,L193,L194,L195)</f>
        <v>54.325861533333331</v>
      </c>
      <c r="M196" s="53">
        <f>AVERAGE(M190,M191,M192,M193,M194,M195)</f>
        <v>78.0889957190373</v>
      </c>
      <c r="N196" s="53">
        <f>AVERAGE(N190,N191,N192,N193,N194,N195)</f>
        <v>8.3101459709948582</v>
      </c>
      <c r="O196" s="19"/>
      <c r="P196" s="19"/>
    </row>
    <row r="197" spans="1:18" ht="12.75" customHeight="1" x14ac:dyDescent="0.45">
      <c r="B197" s="36"/>
      <c r="C197" s="36"/>
      <c r="D197" s="36"/>
      <c r="E197" s="36"/>
      <c r="F197" s="36"/>
      <c r="G197" s="36"/>
      <c r="H197" s="19"/>
      <c r="J197" s="35"/>
      <c r="K197" s="19"/>
      <c r="L197" s="19"/>
      <c r="M197" s="19"/>
    </row>
    <row r="198" spans="1:18" ht="12.75" customHeight="1" x14ac:dyDescent="0.45">
      <c r="B198" s="52" t="s">
        <v>129</v>
      </c>
      <c r="C198" s="51"/>
      <c r="D198" s="50"/>
      <c r="E198" s="46"/>
      <c r="F198" s="46"/>
      <c r="G198" s="46"/>
      <c r="H198" s="46"/>
      <c r="I198" s="46"/>
      <c r="J198" s="19"/>
      <c r="K198" s="19"/>
      <c r="L198" s="19"/>
      <c r="M198" s="19"/>
    </row>
    <row r="199" spans="1:18" ht="12.75" customHeight="1" x14ac:dyDescent="0.45">
      <c r="B199" s="31" t="s">
        <v>142</v>
      </c>
      <c r="C199" s="45" t="s">
        <v>130</v>
      </c>
      <c r="D199" s="31" t="s">
        <v>131</v>
      </c>
      <c r="E199" s="31" t="s">
        <v>47</v>
      </c>
      <c r="F199" s="31" t="s">
        <v>132</v>
      </c>
      <c r="G199" s="31" t="s">
        <v>35</v>
      </c>
      <c r="H199" s="31" t="s">
        <v>46</v>
      </c>
      <c r="I199" s="31" t="s">
        <v>42</v>
      </c>
      <c r="J199" s="31" t="s">
        <v>41</v>
      </c>
      <c r="K199" s="19"/>
      <c r="L199" s="31" t="s">
        <v>40</v>
      </c>
      <c r="M199" s="31" t="s">
        <v>39</v>
      </c>
      <c r="N199" s="31" t="s">
        <v>38</v>
      </c>
      <c r="O199" s="31" t="s">
        <v>37</v>
      </c>
      <c r="P199" s="31" t="s">
        <v>35</v>
      </c>
      <c r="Q199" s="31" t="s">
        <v>34</v>
      </c>
      <c r="R199" s="31" t="s">
        <v>33</v>
      </c>
    </row>
    <row r="200" spans="1:18" ht="12.75" customHeight="1" x14ac:dyDescent="0.45">
      <c r="A200" s="18" t="s">
        <v>23</v>
      </c>
      <c r="B200" s="29" t="s">
        <v>31</v>
      </c>
      <c r="C200" s="21">
        <f t="shared" ref="C200:C205" si="130">L103</f>
        <v>19346.096000000009</v>
      </c>
      <c r="D200" s="21">
        <f t="shared" ref="D200:D205" si="131">M128</f>
        <v>6020.0262557077667</v>
      </c>
      <c r="E200" s="21">
        <f t="shared" ref="E200:E205" si="132">(C200-D200)/C200*100</f>
        <v>68.882475018692332</v>
      </c>
      <c r="F200" s="21">
        <f t="shared" ref="F200:F205" si="133">R128</f>
        <v>2388.96</v>
      </c>
      <c r="G200" s="21">
        <f>SUM(75.2*5.01/0.239)</f>
        <v>1576.3682008368203</v>
      </c>
      <c r="H200" s="21">
        <f t="shared" ref="H200:H205" si="134">(C200-D200-F200-G200)/C200*100</f>
        <v>48.385687445443359</v>
      </c>
      <c r="I200" s="21">
        <f t="shared" ref="I200:I205" si="135">J249</f>
        <v>4207.7025800000001</v>
      </c>
      <c r="J200" s="21">
        <f t="shared" ref="J200:J205" si="136">C200-D200-F200-G200-I200</f>
        <v>5153.038963455424</v>
      </c>
      <c r="K200" s="19"/>
      <c r="L200" s="29" t="s">
        <v>31</v>
      </c>
      <c r="M200" s="21">
        <v>100</v>
      </c>
      <c r="N200" s="21">
        <f t="shared" ref="N200:N205" si="137">D200/$C200*100</f>
        <v>31.117524981307671</v>
      </c>
      <c r="O200" s="21">
        <f t="shared" ref="O200:P205" si="138">F200/$C200*100</f>
        <v>12.348537916900645</v>
      </c>
      <c r="P200" s="21">
        <f t="shared" si="138"/>
        <v>8.1482496563483391</v>
      </c>
      <c r="Q200" s="21">
        <f t="shared" ref="Q200:Q205" si="139">I200/$C200*100</f>
        <v>21.749621112187175</v>
      </c>
      <c r="R200" s="21">
        <f t="shared" ref="R200:R205" si="140">M200-N200-O200-P200-Q200</f>
        <v>26.636066333256171</v>
      </c>
    </row>
    <row r="201" spans="1:18" ht="12.75" customHeight="1" x14ac:dyDescent="0.45">
      <c r="A201" s="18" t="s">
        <v>25</v>
      </c>
      <c r="B201" s="29" t="s">
        <v>30</v>
      </c>
      <c r="C201" s="21">
        <f t="shared" si="130"/>
        <v>19346.096000000009</v>
      </c>
      <c r="D201" s="21">
        <f t="shared" si="131"/>
        <v>8345.4266514167575</v>
      </c>
      <c r="E201" s="21">
        <f t="shared" si="132"/>
        <v>56.862476794197889</v>
      </c>
      <c r="F201" s="21">
        <f t="shared" si="133"/>
        <v>2330.0275000000001</v>
      </c>
      <c r="G201" s="21">
        <f>SUM(63.9*5.01/0.239)</f>
        <v>1339.4937238493721</v>
      </c>
      <c r="H201" s="21">
        <f t="shared" si="134"/>
        <v>37.894715940280022</v>
      </c>
      <c r="I201" s="21">
        <f t="shared" si="135"/>
        <v>3369.4340425</v>
      </c>
      <c r="J201" s="21">
        <f t="shared" si="136"/>
        <v>3961.7140822338788</v>
      </c>
      <c r="K201" s="19"/>
      <c r="L201" s="29" t="s">
        <v>30</v>
      </c>
      <c r="M201" s="21">
        <v>100</v>
      </c>
      <c r="N201" s="21">
        <f t="shared" si="137"/>
        <v>43.137523205802111</v>
      </c>
      <c r="O201" s="21">
        <f t="shared" si="138"/>
        <v>12.043915733696345</v>
      </c>
      <c r="P201" s="21">
        <f t="shared" si="138"/>
        <v>6.9238451202215252</v>
      </c>
      <c r="Q201" s="21">
        <f t="shared" si="139"/>
        <v>17.416609751652214</v>
      </c>
      <c r="R201" s="21">
        <f t="shared" si="140"/>
        <v>20.478106188627809</v>
      </c>
    </row>
    <row r="202" spans="1:18" ht="12.75" customHeight="1" x14ac:dyDescent="0.45">
      <c r="A202" s="18" t="s">
        <v>24</v>
      </c>
      <c r="B202" s="29" t="s">
        <v>29</v>
      </c>
      <c r="C202" s="21">
        <f t="shared" si="130"/>
        <v>19346.096000000009</v>
      </c>
      <c r="D202" s="21">
        <f t="shared" si="131"/>
        <v>6592.8106337570171</v>
      </c>
      <c r="E202" s="21">
        <f t="shared" si="132"/>
        <v>65.921751686970779</v>
      </c>
      <c r="F202" s="21">
        <f t="shared" si="133"/>
        <v>1504.4850000000001</v>
      </c>
      <c r="G202" s="21">
        <f>SUM(56.5*5.01/0.239)</f>
        <v>1184.3723849372386</v>
      </c>
      <c r="H202" s="21">
        <f t="shared" si="134"/>
        <v>52.023043725750917</v>
      </c>
      <c r="I202" s="21">
        <f t="shared" si="135"/>
        <v>3795.1636699999999</v>
      </c>
      <c r="J202" s="21">
        <f t="shared" si="136"/>
        <v>6269.2643113057529</v>
      </c>
      <c r="K202" s="19"/>
      <c r="L202" s="29" t="s">
        <v>29</v>
      </c>
      <c r="M202" s="21">
        <v>100</v>
      </c>
      <c r="N202" s="21">
        <f t="shared" si="137"/>
        <v>34.078248313029228</v>
      </c>
      <c r="O202" s="21">
        <f t="shared" si="138"/>
        <v>7.7766852805858058</v>
      </c>
      <c r="P202" s="21">
        <f t="shared" si="138"/>
        <v>6.122022680634057</v>
      </c>
      <c r="Q202" s="21">
        <f t="shared" si="139"/>
        <v>19.617206851449502</v>
      </c>
      <c r="R202" s="21">
        <f t="shared" si="140"/>
        <v>32.405836874301393</v>
      </c>
    </row>
    <row r="203" spans="1:18" ht="12.75" customHeight="1" x14ac:dyDescent="0.45">
      <c r="A203" s="27" t="s">
        <v>18</v>
      </c>
      <c r="B203" s="29" t="s">
        <v>31</v>
      </c>
      <c r="C203" s="21">
        <f t="shared" si="130"/>
        <v>21199.920000000009</v>
      </c>
      <c r="D203" s="21">
        <f t="shared" si="131"/>
        <v>4781.1843505666911</v>
      </c>
      <c r="E203" s="21">
        <f t="shared" si="132"/>
        <v>77.447158524340239</v>
      </c>
      <c r="F203" s="21">
        <f t="shared" si="133"/>
        <v>3105.0610900000001</v>
      </c>
      <c r="G203" s="21">
        <f>SUM(70.2*5.01/0.239)</f>
        <v>1471.5564853556486</v>
      </c>
      <c r="H203" s="21">
        <f t="shared" si="134"/>
        <v>55.859258308888272</v>
      </c>
      <c r="I203" s="21">
        <f t="shared" si="135"/>
        <v>3575.00233002</v>
      </c>
      <c r="J203" s="21">
        <f t="shared" si="136"/>
        <v>8267.1157440576717</v>
      </c>
      <c r="K203" s="19"/>
      <c r="L203" s="29" t="s">
        <v>31</v>
      </c>
      <c r="M203" s="21">
        <v>100</v>
      </c>
      <c r="N203" s="21">
        <f t="shared" si="137"/>
        <v>22.552841475659761</v>
      </c>
      <c r="O203" s="21">
        <f t="shared" si="138"/>
        <v>14.646569845546582</v>
      </c>
      <c r="P203" s="21">
        <f t="shared" si="138"/>
        <v>6.9413303699053959</v>
      </c>
      <c r="Q203" s="21">
        <f t="shared" si="139"/>
        <v>16.86328217285725</v>
      </c>
      <c r="R203" s="21">
        <f t="shared" si="140"/>
        <v>38.995976136031018</v>
      </c>
    </row>
    <row r="204" spans="1:18" ht="12.75" customHeight="1" x14ac:dyDescent="0.45">
      <c r="A204" s="27" t="s">
        <v>22</v>
      </c>
      <c r="B204" s="29" t="s">
        <v>30</v>
      </c>
      <c r="C204" s="21">
        <f t="shared" si="130"/>
        <v>21199.920000000009</v>
      </c>
      <c r="D204" s="21">
        <f t="shared" si="131"/>
        <v>6510.3508424314068</v>
      </c>
      <c r="E204" s="21">
        <f t="shared" si="132"/>
        <v>69.290682028840649</v>
      </c>
      <c r="F204" s="21">
        <f t="shared" si="133"/>
        <v>3021.2400000000002</v>
      </c>
      <c r="G204" s="21">
        <f>SUM(56.5*5.01/0.239)</f>
        <v>1184.3723849372386</v>
      </c>
      <c r="H204" s="21">
        <f t="shared" si="134"/>
        <v>49.45281290038529</v>
      </c>
      <c r="I204" s="21">
        <f t="shared" si="135"/>
        <v>3300.40463</v>
      </c>
      <c r="J204" s="21">
        <f t="shared" si="136"/>
        <v>7183.5521426313653</v>
      </c>
      <c r="K204" s="19"/>
      <c r="L204" s="29" t="s">
        <v>30</v>
      </c>
      <c r="M204" s="21">
        <v>100</v>
      </c>
      <c r="N204" s="21">
        <f t="shared" si="137"/>
        <v>30.709317971159344</v>
      </c>
      <c r="O204" s="21">
        <f t="shared" si="138"/>
        <v>14.251185853531517</v>
      </c>
      <c r="P204" s="21">
        <f t="shared" si="138"/>
        <v>5.5866832749238586</v>
      </c>
      <c r="Q204" s="21">
        <f t="shared" si="139"/>
        <v>15.568005115113634</v>
      </c>
      <c r="R204" s="21">
        <f t="shared" si="140"/>
        <v>33.88480778527164</v>
      </c>
    </row>
    <row r="205" spans="1:18" ht="12.75" customHeight="1" x14ac:dyDescent="0.45">
      <c r="A205" s="27" t="s">
        <v>20</v>
      </c>
      <c r="B205" s="29" t="s">
        <v>29</v>
      </c>
      <c r="C205" s="21">
        <f t="shared" si="130"/>
        <v>21199.920000000009</v>
      </c>
      <c r="D205" s="21">
        <f t="shared" si="131"/>
        <v>4740.1060927703556</v>
      </c>
      <c r="E205" s="21">
        <f t="shared" si="132"/>
        <v>77.640924622496911</v>
      </c>
      <c r="F205" s="21">
        <f t="shared" si="133"/>
        <v>1325.68</v>
      </c>
      <c r="G205" s="21">
        <f>SUM(58.1*5.01/0.239)</f>
        <v>1217.9121338912134</v>
      </c>
      <c r="H205" s="21">
        <f t="shared" si="134"/>
        <v>65.642803243306744</v>
      </c>
      <c r="I205" s="21">
        <f t="shared" si="135"/>
        <v>5069.8148000000001</v>
      </c>
      <c r="J205" s="21">
        <f t="shared" si="136"/>
        <v>8846.4069733384404</v>
      </c>
      <c r="K205" s="19"/>
      <c r="L205" s="29" t="s">
        <v>29</v>
      </c>
      <c r="M205" s="21">
        <v>100</v>
      </c>
      <c r="N205" s="21">
        <f t="shared" si="137"/>
        <v>22.359075377503093</v>
      </c>
      <c r="O205" s="21">
        <f t="shared" si="138"/>
        <v>6.253231144268466</v>
      </c>
      <c r="P205" s="21">
        <f t="shared" si="138"/>
        <v>5.7448902349217024</v>
      </c>
      <c r="Q205" s="21">
        <f t="shared" si="139"/>
        <v>23.91431099739998</v>
      </c>
      <c r="R205" s="21">
        <f t="shared" si="140"/>
        <v>41.728492245906764</v>
      </c>
    </row>
    <row r="206" spans="1:18" ht="12.75" customHeight="1" x14ac:dyDescent="0.45">
      <c r="B206" s="131" t="s">
        <v>119</v>
      </c>
      <c r="C206" s="22">
        <f>AVERAGE(C200:C205)</f>
        <v>20273.008000000013</v>
      </c>
      <c r="D206" s="22">
        <f>AVERAGE(D200:D205)</f>
        <v>6164.984137774999</v>
      </c>
      <c r="E206" s="22"/>
      <c r="F206" s="22">
        <f>AVERAGE(F200:F205)</f>
        <v>2279.2422649999999</v>
      </c>
      <c r="G206" s="22">
        <f>AVERAGE(G200:G205)</f>
        <v>1329.0125523012555</v>
      </c>
      <c r="H206" s="22"/>
      <c r="I206" s="22">
        <f>AVERAGE(I200:I205)</f>
        <v>3886.2536754200005</v>
      </c>
      <c r="J206" s="22">
        <f>AVERAGE(J200:J205)</f>
        <v>6613.5153695037552</v>
      </c>
      <c r="K206" s="19"/>
      <c r="L206" s="131" t="s">
        <v>119</v>
      </c>
      <c r="M206" s="21">
        <f>SUM(N206:R206)</f>
        <v>100</v>
      </c>
      <c r="N206" s="21">
        <f>AVERAGE(N200:N205)</f>
        <v>30.65908855407687</v>
      </c>
      <c r="O206" s="21">
        <f>AVERAGE(O200:O205)</f>
        <v>11.220020962421559</v>
      </c>
      <c r="P206" s="21">
        <f>AVERAGE(P200:P205)</f>
        <v>6.5778368894924801</v>
      </c>
      <c r="Q206" s="21">
        <f>AVERAGE(Q200:Q205)</f>
        <v>19.188172666776627</v>
      </c>
      <c r="R206" s="21">
        <f>AVERAGE(R200:R205)</f>
        <v>32.354880927232465</v>
      </c>
    </row>
    <row r="207" spans="1:18" ht="12.75" customHeight="1" x14ac:dyDescent="0.45">
      <c r="A207" s="27" t="s">
        <v>24</v>
      </c>
      <c r="B207" s="24" t="s">
        <v>28</v>
      </c>
      <c r="C207" s="49">
        <f t="shared" ref="C207:C212" si="141">L110</f>
        <v>19460.784000000007</v>
      </c>
      <c r="D207" s="49">
        <f t="shared" ref="D207:D212" si="142">M135</f>
        <v>4082.8011173569912</v>
      </c>
      <c r="E207" s="21">
        <f t="shared" ref="E207:E212" si="143">(C207-D207)/C207*100</f>
        <v>79.020366716176554</v>
      </c>
      <c r="F207" s="49">
        <f t="shared" ref="F207:F212" si="144">R135</f>
        <v>4490.7425000000003</v>
      </c>
      <c r="G207" s="25">
        <f>SUM(67.8*5.01/0.239)</f>
        <v>1421.2468619246863</v>
      </c>
      <c r="H207" s="21">
        <f t="shared" ref="H207:H212" si="145">(C207-D207-F207-G207)/C207*100</f>
        <v>48.641378069446361</v>
      </c>
      <c r="I207" s="25">
        <f t="shared" ref="I207:I212" si="146">J256</f>
        <v>3639.6203850000002</v>
      </c>
      <c r="J207" s="25">
        <f t="shared" ref="J207:J212" si="147">C207-D207-F207-G207-I207</f>
        <v>5826.3731357183296</v>
      </c>
      <c r="K207" s="19"/>
      <c r="L207" s="24" t="s">
        <v>28</v>
      </c>
      <c r="M207" s="25">
        <v>100</v>
      </c>
      <c r="N207" s="25">
        <f t="shared" ref="N207:N212" si="148">D207/$C207*100</f>
        <v>20.979633283823457</v>
      </c>
      <c r="O207" s="25">
        <f t="shared" ref="O207:P212" si="149">F207/$C207*100</f>
        <v>23.075856039510015</v>
      </c>
      <c r="P207" s="25">
        <f t="shared" si="149"/>
        <v>7.3031326072201708</v>
      </c>
      <c r="Q207" s="25">
        <f t="shared" ref="Q207:Q212" si="150">I207/$C207*100</f>
        <v>18.702331750868819</v>
      </c>
      <c r="R207" s="25">
        <f t="shared" ref="R207:R212" si="151">M207-N207-O207-P207-Q207</f>
        <v>29.939046318577535</v>
      </c>
    </row>
    <row r="208" spans="1:18" ht="12.75" customHeight="1" x14ac:dyDescent="0.45">
      <c r="A208" s="27" t="s">
        <v>23</v>
      </c>
      <c r="B208" s="24" t="s">
        <v>27</v>
      </c>
      <c r="C208" s="49">
        <f t="shared" si="141"/>
        <v>19460.784000000007</v>
      </c>
      <c r="D208" s="49">
        <f t="shared" si="142"/>
        <v>5940.9470108801015</v>
      </c>
      <c r="E208" s="21">
        <f t="shared" si="143"/>
        <v>69.472211341125316</v>
      </c>
      <c r="F208" s="49">
        <f t="shared" si="144"/>
        <v>2108.4375</v>
      </c>
      <c r="G208" s="25">
        <f>SUM(73.8*5.01/0.239)</f>
        <v>1547.0209205020919</v>
      </c>
      <c r="H208" s="21">
        <f t="shared" si="145"/>
        <v>50.688495225155414</v>
      </c>
      <c r="I208" s="25">
        <f t="shared" si="146"/>
        <v>4641.7982499999998</v>
      </c>
      <c r="J208" s="25">
        <f t="shared" si="147"/>
        <v>5222.5803186178127</v>
      </c>
      <c r="K208" s="19"/>
      <c r="L208" s="24" t="s">
        <v>27</v>
      </c>
      <c r="M208" s="25">
        <v>100</v>
      </c>
      <c r="N208" s="25">
        <f t="shared" si="148"/>
        <v>30.527788658874687</v>
      </c>
      <c r="O208" s="25">
        <f t="shared" si="149"/>
        <v>10.83428858775679</v>
      </c>
      <c r="P208" s="25">
        <f t="shared" si="149"/>
        <v>7.9494275282131044</v>
      </c>
      <c r="Q208" s="25">
        <f t="shared" si="150"/>
        <v>23.852061921040786</v>
      </c>
      <c r="R208" s="25">
        <f t="shared" si="151"/>
        <v>26.836433304114635</v>
      </c>
    </row>
    <row r="209" spans="1:18" ht="12.75" customHeight="1" x14ac:dyDescent="0.45">
      <c r="A209" s="18" t="s">
        <v>25</v>
      </c>
      <c r="B209" s="24" t="s">
        <v>26</v>
      </c>
      <c r="C209" s="49">
        <f t="shared" si="141"/>
        <v>19460.784000000007</v>
      </c>
      <c r="D209" s="49">
        <f t="shared" si="142"/>
        <v>6500.7962549772928</v>
      </c>
      <c r="E209" s="21">
        <f t="shared" si="143"/>
        <v>66.595404095861241</v>
      </c>
      <c r="F209" s="49">
        <f t="shared" si="144"/>
        <v>3038.2328499999999</v>
      </c>
      <c r="G209" s="25">
        <f>SUM(53.7*5.01/0.239)</f>
        <v>1125.6778242677824</v>
      </c>
      <c r="H209" s="21">
        <f t="shared" si="145"/>
        <v>45.198986180386811</v>
      </c>
      <c r="I209" s="25">
        <f t="shared" si="146"/>
        <v>3620.40286668</v>
      </c>
      <c r="J209" s="25">
        <f t="shared" si="147"/>
        <v>5175.6742040749305</v>
      </c>
      <c r="K209" s="19"/>
      <c r="L209" s="24" t="s">
        <v>26</v>
      </c>
      <c r="M209" s="25">
        <v>100</v>
      </c>
      <c r="N209" s="25">
        <f t="shared" si="148"/>
        <v>33.404595904138759</v>
      </c>
      <c r="O209" s="25">
        <f t="shared" si="149"/>
        <v>15.612078372587654</v>
      </c>
      <c r="P209" s="25">
        <f t="shared" si="149"/>
        <v>5.7843395428867721</v>
      </c>
      <c r="Q209" s="25">
        <f t="shared" si="150"/>
        <v>18.603581781083427</v>
      </c>
      <c r="R209" s="25">
        <f t="shared" si="151"/>
        <v>26.595404399303391</v>
      </c>
    </row>
    <row r="210" spans="1:18" ht="12.75" customHeight="1" x14ac:dyDescent="0.45">
      <c r="A210" s="18" t="s">
        <v>20</v>
      </c>
      <c r="B210" s="24" t="s">
        <v>28</v>
      </c>
      <c r="C210" s="49">
        <f t="shared" si="141"/>
        <v>21328.944000000007</v>
      </c>
      <c r="D210" s="49">
        <f t="shared" si="142"/>
        <v>4366.2368194727169</v>
      </c>
      <c r="E210" s="21">
        <f t="shared" si="143"/>
        <v>79.529053011378736</v>
      </c>
      <c r="F210" s="49">
        <f t="shared" si="144"/>
        <v>1804.3050000000001</v>
      </c>
      <c r="G210" s="25">
        <f>SUM(57*5.01/0.239)</f>
        <v>1194.8535564853557</v>
      </c>
      <c r="H210" s="21">
        <f t="shared" si="145"/>
        <v>65.467604134747276</v>
      </c>
      <c r="I210" s="25">
        <f t="shared" si="146"/>
        <v>3630.1639099999998</v>
      </c>
      <c r="J210" s="25">
        <f t="shared" si="147"/>
        <v>10333.384714041935</v>
      </c>
      <c r="K210" s="19"/>
      <c r="L210" s="24" t="s">
        <v>28</v>
      </c>
      <c r="M210" s="25">
        <v>100</v>
      </c>
      <c r="N210" s="25">
        <f t="shared" si="148"/>
        <v>20.470946988621264</v>
      </c>
      <c r="O210" s="25">
        <f t="shared" si="149"/>
        <v>8.4594202132088654</v>
      </c>
      <c r="P210" s="25">
        <f t="shared" si="149"/>
        <v>5.602028663422602</v>
      </c>
      <c r="Q210" s="25">
        <f t="shared" si="150"/>
        <v>17.019895171556541</v>
      </c>
      <c r="R210" s="25">
        <f t="shared" si="151"/>
        <v>48.447708963190721</v>
      </c>
    </row>
    <row r="211" spans="1:18" ht="12.75" customHeight="1" x14ac:dyDescent="0.45">
      <c r="A211" s="18" t="s">
        <v>18</v>
      </c>
      <c r="B211" s="24" t="s">
        <v>27</v>
      </c>
      <c r="C211" s="49">
        <f t="shared" si="141"/>
        <v>21328.944000000007</v>
      </c>
      <c r="D211" s="49">
        <f t="shared" si="142"/>
        <v>5245.7637945615579</v>
      </c>
      <c r="E211" s="21">
        <f t="shared" si="143"/>
        <v>75.405421878544217</v>
      </c>
      <c r="F211" s="49">
        <f t="shared" si="144"/>
        <v>2159.85</v>
      </c>
      <c r="G211" s="25">
        <f>SUM(89*5.01/0.239)</f>
        <v>1865.6485355648535</v>
      </c>
      <c r="H211" s="21">
        <f t="shared" si="145"/>
        <v>56.532014289472521</v>
      </c>
      <c r="I211" s="25">
        <f t="shared" si="146"/>
        <v>6119.2208000000001</v>
      </c>
      <c r="J211" s="25">
        <f t="shared" si="147"/>
        <v>5938.4608698735965</v>
      </c>
      <c r="K211" s="19"/>
      <c r="L211" s="24" t="s">
        <v>27</v>
      </c>
      <c r="M211" s="25">
        <v>100</v>
      </c>
      <c r="N211" s="25">
        <f t="shared" si="148"/>
        <v>24.594578121455786</v>
      </c>
      <c r="O211" s="25">
        <f t="shared" si="149"/>
        <v>10.126380377762722</v>
      </c>
      <c r="P211" s="25">
        <f t="shared" si="149"/>
        <v>8.7470272113089749</v>
      </c>
      <c r="Q211" s="25">
        <f t="shared" si="150"/>
        <v>28.689750416148112</v>
      </c>
      <c r="R211" s="25">
        <f t="shared" si="151"/>
        <v>27.842263873324402</v>
      </c>
    </row>
    <row r="212" spans="1:18" ht="12.75" customHeight="1" x14ac:dyDescent="0.45">
      <c r="A212" s="18" t="s">
        <v>22</v>
      </c>
      <c r="B212" s="24" t="s">
        <v>26</v>
      </c>
      <c r="C212" s="49">
        <f t="shared" si="141"/>
        <v>21328.944000000007</v>
      </c>
      <c r="D212" s="49">
        <f t="shared" si="142"/>
        <v>6030.0051294950254</v>
      </c>
      <c r="E212" s="21">
        <f t="shared" si="143"/>
        <v>71.728534101383445</v>
      </c>
      <c r="F212" s="49">
        <f t="shared" si="144"/>
        <v>3123.3675000000003</v>
      </c>
      <c r="G212" s="25">
        <f>SUM(74.2*5.01/0.239)</f>
        <v>1555.4058577405858</v>
      </c>
      <c r="H212" s="21">
        <f t="shared" si="145"/>
        <v>49.792270600759203</v>
      </c>
      <c r="I212" s="25">
        <f t="shared" si="146"/>
        <v>5402.6725399999996</v>
      </c>
      <c r="J212" s="25">
        <f t="shared" si="147"/>
        <v>5217.4929727643976</v>
      </c>
      <c r="K212" s="19"/>
      <c r="L212" s="24" t="s">
        <v>26</v>
      </c>
      <c r="M212" s="25">
        <v>100</v>
      </c>
      <c r="N212" s="25">
        <f t="shared" si="148"/>
        <v>28.271465898616562</v>
      </c>
      <c r="O212" s="25">
        <f t="shared" si="149"/>
        <v>14.643798117712716</v>
      </c>
      <c r="P212" s="25">
        <f t="shared" si="149"/>
        <v>7.2924653829115282</v>
      </c>
      <c r="Q212" s="25">
        <f t="shared" si="150"/>
        <v>25.330239227971145</v>
      </c>
      <c r="R212" s="25">
        <f t="shared" si="151"/>
        <v>24.462031372788051</v>
      </c>
    </row>
    <row r="213" spans="1:18" ht="12.75" customHeight="1" x14ac:dyDescent="0.45">
      <c r="B213" s="130" t="s">
        <v>119</v>
      </c>
      <c r="C213" s="22">
        <f>AVERAGE(C207:C212)</f>
        <v>20394.864000000005</v>
      </c>
      <c r="D213" s="22">
        <f>AVERAGE(D207:D212)</f>
        <v>5361.0916877906138</v>
      </c>
      <c r="E213" s="22"/>
      <c r="F213" s="22">
        <f>AVERAGE(F207:F212)</f>
        <v>2787.4892249999998</v>
      </c>
      <c r="G213" s="22">
        <f>AVERAGE(G207:G212)</f>
        <v>1451.6422594142259</v>
      </c>
      <c r="H213" s="22"/>
      <c r="I213" s="22">
        <f>AVERAGE(I207:I212)</f>
        <v>4508.9797919466664</v>
      </c>
      <c r="J213" s="22">
        <f>AVERAGE(J207:J212)</f>
        <v>6285.6610358485004</v>
      </c>
      <c r="K213" s="19"/>
      <c r="L213" s="130" t="s">
        <v>119</v>
      </c>
      <c r="M213" s="21">
        <f>SUM(N213:R213)</f>
        <v>100</v>
      </c>
      <c r="N213" s="25">
        <f>AVERAGE(N207:N210)</f>
        <v>26.345741208864542</v>
      </c>
      <c r="O213" s="25">
        <f>AVERAGE(O207:O210)</f>
        <v>14.49541080326583</v>
      </c>
      <c r="P213" s="25">
        <f>AVERAGE(P207:P210)</f>
        <v>6.6597320854356621</v>
      </c>
      <c r="Q213" s="25">
        <f>AVERAGE(Q207:Q210)</f>
        <v>19.544467656137392</v>
      </c>
      <c r="R213" s="25">
        <f>AVERAGE(R207:R210)</f>
        <v>32.954648246296571</v>
      </c>
    </row>
    <row r="214" spans="1:18" ht="12.75" customHeight="1" x14ac:dyDescent="0.45">
      <c r="A214" s="18" t="s">
        <v>25</v>
      </c>
      <c r="B214" s="24" t="s">
        <v>21</v>
      </c>
      <c r="C214" s="21">
        <f t="shared" ref="C214:C219" si="152">L117</f>
        <v>19857.072</v>
      </c>
      <c r="D214" s="21">
        <f t="shared" ref="D214:D219" si="153">M142</f>
        <v>7152.0418754763232</v>
      </c>
      <c r="E214" s="21">
        <f t="shared" ref="E214:E219" si="154">(C214-D214)/C214*100</f>
        <v>63.982394406001433</v>
      </c>
      <c r="F214" s="21">
        <f t="shared" ref="F214:F219" si="155">R142</f>
        <v>3070.6200000000003</v>
      </c>
      <c r="G214" s="21">
        <f>SUM(63.9*5.01/0.239)</f>
        <v>1339.4937238493721</v>
      </c>
      <c r="H214" s="21">
        <f t="shared" ref="H214:H219" si="156">(C214-D214-F214-G214)/C214*100</f>
        <v>41.773109352044976</v>
      </c>
      <c r="I214" s="21">
        <f t="shared" ref="I214:I219" si="157">J263</f>
        <v>4448.4484775000001</v>
      </c>
      <c r="J214" s="21">
        <f t="shared" ref="J214:J219" si="158">C214-D214-F214-G214-I214</f>
        <v>3846.4679231743048</v>
      </c>
      <c r="K214" s="19"/>
      <c r="L214" s="24" t="s">
        <v>21</v>
      </c>
      <c r="M214" s="21">
        <v>100</v>
      </c>
      <c r="N214" s="21">
        <f t="shared" ref="N214:N219" si="159">D214/$C214*100</f>
        <v>36.017605593998567</v>
      </c>
      <c r="O214" s="21">
        <f t="shared" ref="O214:P219" si="160">F214/$C214*100</f>
        <v>15.463609136331884</v>
      </c>
      <c r="P214" s="21">
        <f t="shared" si="160"/>
        <v>6.7456759176245731</v>
      </c>
      <c r="Q214" s="21">
        <f t="shared" ref="Q214:Q219" si="161">I214/$C214*100</f>
        <v>22.402338459063852</v>
      </c>
      <c r="R214" s="21">
        <f t="shared" ref="R214:R219" si="162">M214-N214-O214-P214-Q214</f>
        <v>19.370770892981124</v>
      </c>
    </row>
    <row r="215" spans="1:18" ht="12.75" customHeight="1" x14ac:dyDescent="0.45">
      <c r="A215" s="18" t="s">
        <v>24</v>
      </c>
      <c r="B215" s="24" t="s">
        <v>19</v>
      </c>
      <c r="C215" s="21">
        <f t="shared" si="152"/>
        <v>19857.072</v>
      </c>
      <c r="D215" s="21">
        <f t="shared" si="153"/>
        <v>5680.6473044503391</v>
      </c>
      <c r="E215" s="21">
        <f t="shared" si="154"/>
        <v>71.392321564577401</v>
      </c>
      <c r="F215" s="21">
        <f t="shared" si="155"/>
        <v>3258.1499999999996</v>
      </c>
      <c r="G215" s="21">
        <f>SUM(59.1*5.01/0.239)</f>
        <v>1238.8744769874477</v>
      </c>
      <c r="H215" s="21">
        <f t="shared" si="156"/>
        <v>48.745354897047321</v>
      </c>
      <c r="I215" s="21">
        <f t="shared" si="157"/>
        <v>2776.9961699999999</v>
      </c>
      <c r="J215" s="21">
        <f t="shared" si="158"/>
        <v>6902.4040485622118</v>
      </c>
      <c r="K215" s="19"/>
      <c r="L215" s="24" t="s">
        <v>19</v>
      </c>
      <c r="M215" s="21">
        <v>100</v>
      </c>
      <c r="N215" s="21">
        <f t="shared" si="159"/>
        <v>28.607678435422599</v>
      </c>
      <c r="O215" s="21">
        <f t="shared" si="160"/>
        <v>16.408008189727063</v>
      </c>
      <c r="P215" s="21">
        <f t="shared" si="160"/>
        <v>6.2389584778030098</v>
      </c>
      <c r="Q215" s="21">
        <f t="shared" si="161"/>
        <v>13.984922701594677</v>
      </c>
      <c r="R215" s="21">
        <f t="shared" si="162"/>
        <v>34.760432195452651</v>
      </c>
    </row>
    <row r="216" spans="1:18" ht="12.75" customHeight="1" x14ac:dyDescent="0.45">
      <c r="A216" s="18" t="s">
        <v>23</v>
      </c>
      <c r="B216" s="24" t="s">
        <v>17</v>
      </c>
      <c r="C216" s="21">
        <f t="shared" si="152"/>
        <v>19857.072</v>
      </c>
      <c r="D216" s="21">
        <f t="shared" si="153"/>
        <v>4866.5986639506518</v>
      </c>
      <c r="E216" s="21">
        <f t="shared" si="154"/>
        <v>75.491861720848618</v>
      </c>
      <c r="F216" s="21">
        <f t="shared" si="155"/>
        <v>2060.85</v>
      </c>
      <c r="G216" s="21">
        <f>SUM(60.8*5.01/0.239)</f>
        <v>1274.510460251046</v>
      </c>
      <c r="H216" s="21">
        <f t="shared" si="156"/>
        <v>58.695022487697592</v>
      </c>
      <c r="I216" s="21">
        <f t="shared" si="157"/>
        <v>4459.6850599999998</v>
      </c>
      <c r="J216" s="21">
        <f t="shared" si="158"/>
        <v>7195.4278157983026</v>
      </c>
      <c r="K216" s="19"/>
      <c r="L216" s="24" t="s">
        <v>17</v>
      </c>
      <c r="M216" s="21">
        <v>100</v>
      </c>
      <c r="N216" s="21">
        <f t="shared" si="159"/>
        <v>24.508138279151385</v>
      </c>
      <c r="O216" s="21">
        <f t="shared" si="160"/>
        <v>10.378418328744539</v>
      </c>
      <c r="P216" s="21">
        <f t="shared" si="160"/>
        <v>6.4184209044064797</v>
      </c>
      <c r="Q216" s="21">
        <f t="shared" si="161"/>
        <v>22.458925767102016</v>
      </c>
      <c r="R216" s="21">
        <f t="shared" si="162"/>
        <v>36.236096720595576</v>
      </c>
    </row>
    <row r="217" spans="1:18" ht="12.75" customHeight="1" x14ac:dyDescent="0.45">
      <c r="A217" s="18" t="s">
        <v>22</v>
      </c>
      <c r="B217" s="24" t="s">
        <v>21</v>
      </c>
      <c r="C217" s="21">
        <f t="shared" si="152"/>
        <v>21774.768</v>
      </c>
      <c r="D217" s="21">
        <f t="shared" si="153"/>
        <v>7061.8193872440879</v>
      </c>
      <c r="E217" s="21">
        <f t="shared" si="154"/>
        <v>67.568796199141644</v>
      </c>
      <c r="F217" s="21">
        <f t="shared" si="155"/>
        <v>3122.1025</v>
      </c>
      <c r="G217" s="21">
        <f>SUM(68*5.01/0.239)</f>
        <v>1425.4393305439332</v>
      </c>
      <c r="H217" s="21">
        <f t="shared" si="156"/>
        <v>46.684340252038417</v>
      </c>
      <c r="I217" s="21">
        <f t="shared" si="157"/>
        <v>2832.7536375</v>
      </c>
      <c r="J217" s="21">
        <f t="shared" si="158"/>
        <v>7332.6531447119796</v>
      </c>
      <c r="K217" s="19"/>
      <c r="L217" s="24" t="s">
        <v>21</v>
      </c>
      <c r="M217" s="21">
        <v>100</v>
      </c>
      <c r="N217" s="21">
        <f t="shared" si="159"/>
        <v>32.431203800858349</v>
      </c>
      <c r="O217" s="21">
        <f t="shared" si="160"/>
        <v>14.338166542118842</v>
      </c>
      <c r="P217" s="21">
        <f t="shared" si="160"/>
        <v>6.5462894049843987</v>
      </c>
      <c r="Q217" s="21">
        <f t="shared" si="161"/>
        <v>13.009340156919238</v>
      </c>
      <c r="R217" s="21">
        <f t="shared" si="162"/>
        <v>33.675000095119167</v>
      </c>
    </row>
    <row r="218" spans="1:18" ht="12.75" customHeight="1" x14ac:dyDescent="0.45">
      <c r="A218" s="18" t="s">
        <v>20</v>
      </c>
      <c r="B218" s="24" t="s">
        <v>19</v>
      </c>
      <c r="C218" s="21">
        <f t="shared" si="152"/>
        <v>21774.768</v>
      </c>
      <c r="D218" s="21">
        <f t="shared" si="153"/>
        <v>4802.3084842916251</v>
      </c>
      <c r="E218" s="21">
        <f t="shared" si="154"/>
        <v>77.945535473481854</v>
      </c>
      <c r="F218" s="21">
        <f t="shared" si="155"/>
        <v>1761.1250730000002</v>
      </c>
      <c r="G218" s="21">
        <f>SUM(61*5.01/0.239)</f>
        <v>1278.7029288702929</v>
      </c>
      <c r="H218" s="21">
        <f t="shared" si="156"/>
        <v>63.985212213687348</v>
      </c>
      <c r="I218" s="21">
        <f t="shared" si="157"/>
        <v>4449.5031630439998</v>
      </c>
      <c r="J218" s="21">
        <f t="shared" si="158"/>
        <v>9483.1283507940825</v>
      </c>
      <c r="K218" s="19"/>
      <c r="L218" s="24" t="s">
        <v>19</v>
      </c>
      <c r="M218" s="21">
        <v>100</v>
      </c>
      <c r="N218" s="21">
        <f t="shared" si="159"/>
        <v>22.054464526518146</v>
      </c>
      <c r="O218" s="21">
        <f t="shared" si="160"/>
        <v>8.0879165876761583</v>
      </c>
      <c r="P218" s="21">
        <f t="shared" si="160"/>
        <v>5.8724066721183572</v>
      </c>
      <c r="Q218" s="21">
        <f t="shared" si="161"/>
        <v>20.434216167281321</v>
      </c>
      <c r="R218" s="21">
        <f t="shared" si="162"/>
        <v>43.550996046406013</v>
      </c>
    </row>
    <row r="219" spans="1:18" ht="12.75" customHeight="1" x14ac:dyDescent="0.45">
      <c r="A219" s="18" t="s">
        <v>18</v>
      </c>
      <c r="B219" s="24" t="s">
        <v>17</v>
      </c>
      <c r="C219" s="21">
        <f t="shared" si="152"/>
        <v>21774.768</v>
      </c>
      <c r="D219" s="21">
        <f t="shared" si="153"/>
        <v>5750.881693709719</v>
      </c>
      <c r="E219" s="21">
        <f t="shared" si="154"/>
        <v>73.589240107128958</v>
      </c>
      <c r="F219" s="21">
        <f t="shared" si="155"/>
        <v>2023.875</v>
      </c>
      <c r="G219" s="21">
        <f>SUM(54.2*5.01/0.239)</f>
        <v>1136.1589958158997</v>
      </c>
      <c r="H219" s="21">
        <f t="shared" si="156"/>
        <v>59.07687425406499</v>
      </c>
      <c r="I219" s="21">
        <f t="shared" si="157"/>
        <v>4175.9975999999997</v>
      </c>
      <c r="J219" s="21">
        <f t="shared" si="158"/>
        <v>8687.8547104743811</v>
      </c>
      <c r="K219" s="19"/>
      <c r="L219" s="24" t="s">
        <v>17</v>
      </c>
      <c r="M219" s="21">
        <v>100</v>
      </c>
      <c r="N219" s="21">
        <f t="shared" si="159"/>
        <v>26.410759892871049</v>
      </c>
      <c r="O219" s="21">
        <f t="shared" si="160"/>
        <v>9.2945881214440487</v>
      </c>
      <c r="P219" s="21">
        <f t="shared" si="160"/>
        <v>5.2177777316199183</v>
      </c>
      <c r="Q219" s="21">
        <f t="shared" si="161"/>
        <v>19.178149682237716</v>
      </c>
      <c r="R219" s="21">
        <f t="shared" si="162"/>
        <v>39.898724571827259</v>
      </c>
    </row>
    <row r="220" spans="1:18" ht="12.75" customHeight="1" x14ac:dyDescent="0.45">
      <c r="B220" s="130" t="s">
        <v>119</v>
      </c>
      <c r="C220" s="22">
        <f>AVERAGE(C214:C219)</f>
        <v>20815.919999999998</v>
      </c>
      <c r="D220" s="22">
        <f>AVERAGE(D214:D219)</f>
        <v>5885.7162348537904</v>
      </c>
      <c r="E220" s="22"/>
      <c r="F220" s="22">
        <f>AVERAGE(F214:F219)</f>
        <v>2549.4537621666664</v>
      </c>
      <c r="G220" s="22">
        <f>AVERAGE(G214:G219)</f>
        <v>1282.1966527196653</v>
      </c>
      <c r="H220" s="22"/>
      <c r="I220" s="22">
        <f>AVERAGE(I214:I219)</f>
        <v>3857.2306846739998</v>
      </c>
      <c r="J220" s="22">
        <f>AVERAGE(J214:J219)</f>
        <v>7241.3226655858771</v>
      </c>
      <c r="K220" s="19"/>
      <c r="L220" s="130" t="s">
        <v>120</v>
      </c>
      <c r="M220" s="21">
        <f>SUM(N220:R220)</f>
        <v>100</v>
      </c>
      <c r="N220" s="21">
        <f>AVERAGE(N214:N217)</f>
        <v>30.391156527357722</v>
      </c>
      <c r="O220" s="21">
        <f>AVERAGE(O214:O217)</f>
        <v>14.147050549230581</v>
      </c>
      <c r="P220" s="21">
        <f>AVERAGE(P214:P217)</f>
        <v>6.4873361762046162</v>
      </c>
      <c r="Q220" s="21">
        <f>AVERAGE(Q214:Q217)</f>
        <v>17.963881771169945</v>
      </c>
      <c r="R220" s="21">
        <f>AVERAGE(R214:R217)</f>
        <v>31.010574976037134</v>
      </c>
    </row>
    <row r="221" spans="1:18" ht="12.75" customHeight="1" x14ac:dyDescent="0.45">
      <c r="B221" s="36"/>
      <c r="C221" s="36"/>
      <c r="D221" s="36"/>
      <c r="E221" s="36"/>
      <c r="F221" s="36"/>
      <c r="G221" s="36"/>
      <c r="H221" s="19"/>
      <c r="J221" s="35"/>
      <c r="K221" s="19"/>
      <c r="L221" s="19"/>
      <c r="M221" s="19"/>
      <c r="N221" s="44"/>
      <c r="O221" s="19"/>
      <c r="P221" s="19"/>
    </row>
    <row r="222" spans="1:18" ht="12.75" customHeight="1" x14ac:dyDescent="0.45">
      <c r="B222" s="36"/>
      <c r="C222" s="36"/>
      <c r="D222" s="36"/>
      <c r="E222" s="36"/>
      <c r="F222" s="36"/>
      <c r="G222" s="36"/>
      <c r="H222" s="19"/>
      <c r="J222" s="35"/>
      <c r="K222" s="19"/>
      <c r="L222" s="19"/>
      <c r="M222" s="19"/>
      <c r="N222" s="44"/>
      <c r="O222" s="19"/>
      <c r="P222" s="19"/>
    </row>
    <row r="223" spans="1:18" ht="12.75" customHeight="1" x14ac:dyDescent="0.45">
      <c r="B223" s="48" t="s">
        <v>151</v>
      </c>
      <c r="C223" s="48"/>
      <c r="D223" s="47"/>
      <c r="E223" s="46"/>
      <c r="F223" s="46"/>
      <c r="G223" s="46"/>
      <c r="H223" s="46"/>
      <c r="I223" s="46"/>
      <c r="J223" s="19"/>
      <c r="K223" s="19"/>
      <c r="L223" s="19"/>
      <c r="M223" s="19"/>
      <c r="N223" s="44"/>
      <c r="O223" s="19"/>
      <c r="P223" s="19"/>
    </row>
    <row r="224" spans="1:18" ht="12.75" customHeight="1" x14ac:dyDescent="0.45">
      <c r="B224" s="31" t="s">
        <v>143</v>
      </c>
      <c r="C224" s="45" t="s">
        <v>130</v>
      </c>
      <c r="D224" s="31" t="s">
        <v>131</v>
      </c>
      <c r="E224" s="31" t="s">
        <v>47</v>
      </c>
      <c r="F224" s="31" t="s">
        <v>45</v>
      </c>
      <c r="G224" s="31" t="s">
        <v>132</v>
      </c>
      <c r="H224" s="31" t="s">
        <v>44</v>
      </c>
      <c r="I224" s="31" t="s">
        <v>43</v>
      </c>
      <c r="J224" s="31" t="s">
        <v>42</v>
      </c>
      <c r="K224" s="31" t="s">
        <v>41</v>
      </c>
      <c r="L224" s="19"/>
      <c r="M224" s="19"/>
      <c r="N224" s="44"/>
      <c r="O224" s="19"/>
      <c r="P224" s="19"/>
    </row>
    <row r="225" spans="1:15" ht="12.75" customHeight="1" x14ac:dyDescent="0.45">
      <c r="A225" s="18" t="s">
        <v>23</v>
      </c>
      <c r="B225" s="29" t="s">
        <v>31</v>
      </c>
      <c r="C225" s="39">
        <f>L103/F5</f>
        <v>288.84620137220645</v>
      </c>
      <c r="D225" s="39">
        <f>M128/F5</f>
        <v>89.881788869554597</v>
      </c>
      <c r="E225" s="39">
        <f t="shared" ref="E225:E230" si="163">C225-D225</f>
        <v>198.96441250265184</v>
      </c>
      <c r="F225" s="39">
        <f t="shared" ref="F225:F230" si="164">C225/E225</f>
        <v>1.4517480676015699</v>
      </c>
      <c r="G225" s="39">
        <f>R128/F5</f>
        <v>35.668282697974099</v>
      </c>
      <c r="H225" s="39">
        <f>H249/F5</f>
        <v>23.535909610686037</v>
      </c>
      <c r="I225" s="38">
        <f t="shared" ref="I225:I230" si="165">E225-G225-H225</f>
        <v>139.7602201939917</v>
      </c>
      <c r="J225" s="39">
        <f>J249/F5</f>
        <v>62.822954395400082</v>
      </c>
      <c r="K225" s="38">
        <f t="shared" ref="K225:K230" si="166">I225-J225</f>
        <v>76.937265798591625</v>
      </c>
      <c r="L225" s="19"/>
      <c r="M225" s="19"/>
    </row>
    <row r="226" spans="1:15" ht="12.75" customHeight="1" x14ac:dyDescent="0.45">
      <c r="A226" s="18" t="s">
        <v>25</v>
      </c>
      <c r="B226" s="29" t="s">
        <v>30</v>
      </c>
      <c r="C226" s="39">
        <f>L104/F6</f>
        <v>279.27472669172721</v>
      </c>
      <c r="D226" s="39">
        <f>M129/F6</f>
        <v>120.47220003458423</v>
      </c>
      <c r="E226" s="39">
        <f t="shared" si="163"/>
        <v>158.80252665714298</v>
      </c>
      <c r="F226" s="39">
        <f t="shared" si="164"/>
        <v>1.7586289876526053</v>
      </c>
      <c r="G226" s="39">
        <f>R129/F6</f>
        <v>33.635612748262396</v>
      </c>
      <c r="H226" s="39">
        <f>H250/F6</f>
        <v>19.336549536057152</v>
      </c>
      <c r="I226" s="38">
        <f t="shared" si="165"/>
        <v>105.83036437282344</v>
      </c>
      <c r="J226" s="39">
        <f>J250/F6</f>
        <v>48.64018928289142</v>
      </c>
      <c r="K226" s="38">
        <f t="shared" si="166"/>
        <v>57.190175089932019</v>
      </c>
      <c r="L226" s="19"/>
      <c r="M226" s="19"/>
    </row>
    <row r="227" spans="1:15" ht="12.75" customHeight="1" x14ac:dyDescent="0.45">
      <c r="A227" s="18" t="s">
        <v>24</v>
      </c>
      <c r="B227" s="29" t="s">
        <v>29</v>
      </c>
      <c r="C227" s="39">
        <f>L105/F7</f>
        <v>291.66554020699255</v>
      </c>
      <c r="D227" s="39">
        <f>M130/F7</f>
        <v>99.394507035277002</v>
      </c>
      <c r="E227" s="39">
        <f t="shared" si="163"/>
        <v>192.27103317171554</v>
      </c>
      <c r="F227" s="39">
        <f t="shared" si="164"/>
        <v>1.5169499814696925</v>
      </c>
      <c r="G227" s="39">
        <f>R130/F7</f>
        <v>22.681911133818264</v>
      </c>
      <c r="H227" s="39">
        <f>H251/F7</f>
        <v>17.855830523065929</v>
      </c>
      <c r="I227" s="38">
        <f t="shared" si="165"/>
        <v>151.73329151483136</v>
      </c>
      <c r="J227" s="39">
        <f>J251/F7</f>
        <v>57.216632336803343</v>
      </c>
      <c r="K227" s="38">
        <f t="shared" si="166"/>
        <v>94.516659178028021</v>
      </c>
      <c r="L227" s="19"/>
      <c r="M227" s="19"/>
      <c r="N227" s="19"/>
      <c r="O227" s="19"/>
    </row>
    <row r="228" spans="1:15" ht="12.75" customHeight="1" x14ac:dyDescent="0.45">
      <c r="A228" s="27" t="s">
        <v>18</v>
      </c>
      <c r="B228" s="29" t="s">
        <v>31</v>
      </c>
      <c r="C228" s="39">
        <f>L106/F10</f>
        <v>272.57163502468251</v>
      </c>
      <c r="D228" s="39">
        <f>M131/F10</f>
        <v>61.47264875473055</v>
      </c>
      <c r="E228" s="39">
        <f t="shared" si="163"/>
        <v>211.09898626995195</v>
      </c>
      <c r="F228" s="39">
        <f t="shared" si="164"/>
        <v>1.2912029557362239</v>
      </c>
      <c r="G228" s="39">
        <f>R131/F10</f>
        <v>39.92239490303843</v>
      </c>
      <c r="H228" s="39">
        <f>H252/F10</f>
        <v>18.92009768171598</v>
      </c>
      <c r="I228" s="38">
        <f t="shared" si="165"/>
        <v>152.25649368519754</v>
      </c>
      <c r="J228" s="39">
        <f>J252/F10</f>
        <v>45.964523937382815</v>
      </c>
      <c r="K228" s="38">
        <f t="shared" si="166"/>
        <v>106.29196974781473</v>
      </c>
      <c r="L228" s="19"/>
      <c r="M228" s="19"/>
      <c r="N228" s="20"/>
      <c r="O228" s="20"/>
    </row>
    <row r="229" spans="1:15" ht="12.75" customHeight="1" x14ac:dyDescent="0.45">
      <c r="A229" s="27" t="s">
        <v>22</v>
      </c>
      <c r="B229" s="29" t="s">
        <v>30</v>
      </c>
      <c r="C229" s="39">
        <f>L107/F11</f>
        <v>239.26898118731512</v>
      </c>
      <c r="D229" s="39">
        <f>M132/F11</f>
        <v>73.477872239166032</v>
      </c>
      <c r="E229" s="39">
        <f t="shared" si="163"/>
        <v>165.79110894814909</v>
      </c>
      <c r="F229" s="39">
        <f t="shared" si="164"/>
        <v>1.4431954928424184</v>
      </c>
      <c r="G229" s="39">
        <f>R132/F11</f>
        <v>34.098667198855644</v>
      </c>
      <c r="H229" s="39">
        <f>H253/F11</f>
        <v>13.367200154072448</v>
      </c>
      <c r="I229" s="38">
        <f t="shared" si="165"/>
        <v>118.32524159522099</v>
      </c>
      <c r="J229" s="39">
        <f>J253/F11</f>
        <v>37.249407230121498</v>
      </c>
      <c r="K229" s="38">
        <f t="shared" si="166"/>
        <v>81.075834365099496</v>
      </c>
      <c r="L229" s="19"/>
      <c r="M229" s="19"/>
    </row>
    <row r="230" spans="1:15" ht="12.75" customHeight="1" x14ac:dyDescent="0.45">
      <c r="A230" s="27" t="s">
        <v>20</v>
      </c>
      <c r="B230" s="29" t="s">
        <v>29</v>
      </c>
      <c r="C230" s="39">
        <f>L108/F12</f>
        <v>260.59428137506239</v>
      </c>
      <c r="D230" s="39">
        <f>M133/F12</f>
        <v>58.266471802112704</v>
      </c>
      <c r="E230" s="39">
        <f t="shared" si="163"/>
        <v>202.32780957294969</v>
      </c>
      <c r="F230" s="39">
        <f t="shared" si="164"/>
        <v>1.2879805397245929</v>
      </c>
      <c r="G230" s="39">
        <f>R133/F12</f>
        <v>16.295562763128</v>
      </c>
      <c r="H230" s="39">
        <f>H254/F12</f>
        <v>14.970855423480344</v>
      </c>
      <c r="I230" s="38">
        <f t="shared" si="165"/>
        <v>171.06139138634134</v>
      </c>
      <c r="J230" s="39">
        <f>J254/F12</f>
        <v>62.319326889471995</v>
      </c>
      <c r="K230" s="38">
        <f t="shared" si="166"/>
        <v>108.74206449686935</v>
      </c>
      <c r="L230" s="19"/>
      <c r="M230" s="19"/>
    </row>
    <row r="231" spans="1:15" ht="12.75" customHeight="1" x14ac:dyDescent="0.45">
      <c r="B231" s="131" t="s">
        <v>119</v>
      </c>
      <c r="C231" s="37">
        <f t="shared" ref="C231:K231" si="167">AVERAGE(C225:C230)</f>
        <v>272.03689430966438</v>
      </c>
      <c r="D231" s="37">
        <f t="shared" si="167"/>
        <v>83.827581455904181</v>
      </c>
      <c r="E231" s="37">
        <f t="shared" si="167"/>
        <v>188.20931285376017</v>
      </c>
      <c r="F231" s="37">
        <f t="shared" si="167"/>
        <v>1.4582843375045169</v>
      </c>
      <c r="G231" s="37">
        <f t="shared" si="167"/>
        <v>30.383738574179475</v>
      </c>
      <c r="H231" s="37">
        <f t="shared" si="167"/>
        <v>17.997740488179648</v>
      </c>
      <c r="I231" s="37">
        <f t="shared" si="167"/>
        <v>139.82783379140108</v>
      </c>
      <c r="J231" s="37">
        <f t="shared" si="167"/>
        <v>52.368839012011854</v>
      </c>
      <c r="K231" s="37">
        <f t="shared" si="167"/>
        <v>87.458994779389215</v>
      </c>
      <c r="L231" s="19"/>
      <c r="M231" s="19"/>
      <c r="N231" s="20"/>
      <c r="O231" s="20"/>
    </row>
    <row r="232" spans="1:15" ht="12.75" customHeight="1" x14ac:dyDescent="0.45">
      <c r="A232" s="27" t="s">
        <v>24</v>
      </c>
      <c r="B232" s="24" t="s">
        <v>28</v>
      </c>
      <c r="C232" s="43">
        <f t="shared" ref="C232:C237" si="168">L110/F19</f>
        <v>293.39459900393319</v>
      </c>
      <c r="D232" s="43">
        <f t="shared" ref="D232:D237" si="169">M135/F19</f>
        <v>61.553110945569536</v>
      </c>
      <c r="E232" s="43">
        <f t="shared" ref="E232:E237" si="170">C232-D232</f>
        <v>231.84148805836367</v>
      </c>
      <c r="F232" s="43">
        <f t="shared" ref="F232:F237" si="171">C232/E232</f>
        <v>1.2654965315356939</v>
      </c>
      <c r="G232" s="43">
        <f t="shared" ref="G232:G237" si="172">R135/F19</f>
        <v>67.703315293845321</v>
      </c>
      <c r="H232" s="41">
        <f t="shared" ref="H232:H237" si="173">H256/F19</f>
        <v>21.426996627679113</v>
      </c>
      <c r="I232" s="42">
        <f t="shared" ref="I232:I237" si="174">E232-G232-H232</f>
        <v>142.71117613683924</v>
      </c>
      <c r="J232" s="41">
        <f t="shared" ref="J232:J237" si="175">J256/F19</f>
        <v>54.871631244846853</v>
      </c>
      <c r="K232" s="41">
        <f t="shared" ref="K232:K237" si="176">I232-J232</f>
        <v>87.839544891992389</v>
      </c>
      <c r="L232" s="19"/>
      <c r="M232" s="19"/>
      <c r="N232" s="20"/>
      <c r="O232" s="20"/>
    </row>
    <row r="233" spans="1:15" ht="12.75" customHeight="1" x14ac:dyDescent="0.45">
      <c r="A233" s="27" t="s">
        <v>23</v>
      </c>
      <c r="B233" s="24" t="s">
        <v>27</v>
      </c>
      <c r="C233" s="43">
        <f t="shared" si="168"/>
        <v>290.55854649563469</v>
      </c>
      <c r="D233" s="43">
        <f t="shared" si="169"/>
        <v>88.701099004485499</v>
      </c>
      <c r="E233" s="43">
        <f t="shared" si="170"/>
        <v>201.85744749114917</v>
      </c>
      <c r="F233" s="43">
        <f t="shared" si="171"/>
        <v>1.4394244557579416</v>
      </c>
      <c r="G233" s="43">
        <f t="shared" si="172"/>
        <v>31.479951443728556</v>
      </c>
      <c r="H233" s="41">
        <f t="shared" si="173"/>
        <v>23.097741080699858</v>
      </c>
      <c r="I233" s="42">
        <f t="shared" si="174"/>
        <v>147.27975496672076</v>
      </c>
      <c r="J233" s="41">
        <f t="shared" si="175"/>
        <v>69.304204427014866</v>
      </c>
      <c r="K233" s="41">
        <f t="shared" si="176"/>
        <v>77.975550539705893</v>
      </c>
      <c r="L233" s="19"/>
      <c r="M233" s="19"/>
      <c r="N233" s="20"/>
      <c r="O233" s="20"/>
    </row>
    <row r="234" spans="1:15" ht="12.75" customHeight="1" x14ac:dyDescent="0.45">
      <c r="A234" s="18" t="s">
        <v>25</v>
      </c>
      <c r="B234" s="24" t="s">
        <v>26</v>
      </c>
      <c r="C234" s="43">
        <f t="shared" si="168"/>
        <v>280.93032996459527</v>
      </c>
      <c r="D234" s="43">
        <f t="shared" si="169"/>
        <v>93.843641496836696</v>
      </c>
      <c r="E234" s="43">
        <f t="shared" si="170"/>
        <v>187.08668846775856</v>
      </c>
      <c r="F234" s="43">
        <f t="shared" si="171"/>
        <v>1.5016051236216583</v>
      </c>
      <c r="G234" s="43">
        <f t="shared" si="172"/>
        <v>43.859063286441717</v>
      </c>
      <c r="H234" s="41">
        <f t="shared" si="173"/>
        <v>16.24996416410437</v>
      </c>
      <c r="I234" s="42">
        <f t="shared" si="174"/>
        <v>126.97766101721248</v>
      </c>
      <c r="J234" s="41">
        <f t="shared" si="175"/>
        <v>52.263103682831002</v>
      </c>
      <c r="K234" s="41">
        <f t="shared" si="176"/>
        <v>74.714557334381482</v>
      </c>
      <c r="L234" s="19"/>
      <c r="M234" s="19"/>
    </row>
    <row r="235" spans="1:15" ht="12.75" customHeight="1" x14ac:dyDescent="0.45">
      <c r="A235" s="18" t="s">
        <v>20</v>
      </c>
      <c r="B235" s="24" t="s">
        <v>28</v>
      </c>
      <c r="C235" s="43">
        <f t="shared" si="168"/>
        <v>262.18027399013528</v>
      </c>
      <c r="D235" s="43">
        <f t="shared" si="169"/>
        <v>53.670784903142568</v>
      </c>
      <c r="E235" s="43">
        <f t="shared" si="170"/>
        <v>208.50948908699272</v>
      </c>
      <c r="F235" s="43">
        <f t="shared" si="171"/>
        <v>1.2574021217842535</v>
      </c>
      <c r="G235" s="43">
        <f t="shared" si="172"/>
        <v>22.178931092967886</v>
      </c>
      <c r="H235" s="41">
        <f t="shared" si="173"/>
        <v>14.687414098767292</v>
      </c>
      <c r="I235" s="42">
        <f t="shared" si="174"/>
        <v>171.64314389525754</v>
      </c>
      <c r="J235" s="41">
        <f t="shared" si="175"/>
        <v>44.622807793620744</v>
      </c>
      <c r="K235" s="41">
        <f t="shared" si="176"/>
        <v>127.02033610163679</v>
      </c>
      <c r="L235" s="19"/>
      <c r="M235" s="19"/>
    </row>
    <row r="236" spans="1:15" ht="12.75" customHeight="1" x14ac:dyDescent="0.45">
      <c r="A236" s="18" t="s">
        <v>18</v>
      </c>
      <c r="B236" s="24" t="s">
        <v>27</v>
      </c>
      <c r="C236" s="43">
        <f t="shared" si="168"/>
        <v>274.23052254111769</v>
      </c>
      <c r="D236" s="43">
        <f t="shared" si="169"/>
        <v>67.445840099251598</v>
      </c>
      <c r="E236" s="43">
        <f t="shared" si="170"/>
        <v>206.7846824418661</v>
      </c>
      <c r="F236" s="43">
        <f t="shared" si="171"/>
        <v>1.3261645848367556</v>
      </c>
      <c r="G236" s="43">
        <f t="shared" si="172"/>
        <v>27.769625824439917</v>
      </c>
      <c r="H236" s="41">
        <f t="shared" si="173"/>
        <v>23.987018428386357</v>
      </c>
      <c r="I236" s="42">
        <f t="shared" si="174"/>
        <v>155.02803818903982</v>
      </c>
      <c r="J236" s="41">
        <f t="shared" si="175"/>
        <v>78.676052481945447</v>
      </c>
      <c r="K236" s="41">
        <f t="shared" si="176"/>
        <v>76.351985707094371</v>
      </c>
      <c r="L236" s="19"/>
      <c r="M236" s="19"/>
    </row>
    <row r="237" spans="1:15" ht="12.75" customHeight="1" x14ac:dyDescent="0.45">
      <c r="A237" s="18" t="s">
        <v>22</v>
      </c>
      <c r="B237" s="24" t="s">
        <v>26</v>
      </c>
      <c r="C237" s="43">
        <f t="shared" si="168"/>
        <v>240.7251867309545</v>
      </c>
      <c r="D237" s="43">
        <f t="shared" si="169"/>
        <v>68.056539076022844</v>
      </c>
      <c r="E237" s="43">
        <f t="shared" si="170"/>
        <v>172.66864765493165</v>
      </c>
      <c r="F237" s="43">
        <f t="shared" si="171"/>
        <v>1.3941453182168306</v>
      </c>
      <c r="G237" s="43">
        <f t="shared" si="172"/>
        <v>35.251310363367935</v>
      </c>
      <c r="H237" s="41">
        <f t="shared" si="173"/>
        <v>17.554800910303992</v>
      </c>
      <c r="I237" s="42">
        <f t="shared" si="174"/>
        <v>119.86253638125972</v>
      </c>
      <c r="J237" s="41">
        <f t="shared" si="175"/>
        <v>60.976265680931029</v>
      </c>
      <c r="K237" s="41">
        <f t="shared" si="176"/>
        <v>58.886270700328687</v>
      </c>
      <c r="L237" s="19"/>
      <c r="M237" s="19"/>
    </row>
    <row r="238" spans="1:15" ht="12.75" customHeight="1" x14ac:dyDescent="0.45">
      <c r="B238" s="130" t="s">
        <v>119</v>
      </c>
      <c r="C238" s="40">
        <f t="shared" ref="C238:K238" si="177">AVERAGE(C232:C237)</f>
        <v>273.66990978772844</v>
      </c>
      <c r="D238" s="40">
        <f t="shared" si="177"/>
        <v>72.211835920884795</v>
      </c>
      <c r="E238" s="40">
        <f t="shared" si="177"/>
        <v>201.45807386684365</v>
      </c>
      <c r="F238" s="40">
        <f t="shared" si="177"/>
        <v>1.3640396892921889</v>
      </c>
      <c r="G238" s="40">
        <f t="shared" si="177"/>
        <v>38.040366217465227</v>
      </c>
      <c r="H238" s="40">
        <f t="shared" si="177"/>
        <v>19.500655884990163</v>
      </c>
      <c r="I238" s="40">
        <f t="shared" si="177"/>
        <v>143.91705176438828</v>
      </c>
      <c r="J238" s="40">
        <f t="shared" si="177"/>
        <v>60.119010885198321</v>
      </c>
      <c r="K238" s="40">
        <f t="shared" si="177"/>
        <v>83.798040879189941</v>
      </c>
      <c r="L238" s="19"/>
      <c r="M238" s="19"/>
    </row>
    <row r="239" spans="1:15" ht="12.75" customHeight="1" x14ac:dyDescent="0.45">
      <c r="A239" s="18" t="s">
        <v>25</v>
      </c>
      <c r="B239" s="24" t="s">
        <v>21</v>
      </c>
      <c r="C239" s="39">
        <f t="shared" ref="C239:C244" si="178">L117/F28</f>
        <v>286.65103055923771</v>
      </c>
      <c r="D239" s="39">
        <f t="shared" ref="D239:D244" si="179">M142/F28</f>
        <v>103.24483761795854</v>
      </c>
      <c r="E239" s="39">
        <f t="shared" ref="E239:E244" si="180">C239-D239</f>
        <v>183.40619294127919</v>
      </c>
      <c r="F239" s="39">
        <f t="shared" ref="F239:F244" si="181">C239/E239</f>
        <v>1.5629299423439547</v>
      </c>
      <c r="G239" s="39">
        <f t="shared" ref="G239:G244" si="182">R142/F28</f>
        <v>44.326594950947779</v>
      </c>
      <c r="H239" s="39">
        <f t="shared" ref="H239:H244" si="183">H263/F28</f>
        <v>19.336549536057152</v>
      </c>
      <c r="I239" s="38">
        <f t="shared" ref="I239:I244" si="184">E239-G239-H239</f>
        <v>119.74304845427427</v>
      </c>
      <c r="J239" s="39">
        <f t="shared" ref="J239:J244" si="185">J263/F28</f>
        <v>64.216534062274988</v>
      </c>
      <c r="K239" s="38">
        <f t="shared" ref="K239:K244" si="186">I239-J239</f>
        <v>55.526514391999285</v>
      </c>
      <c r="L239" s="19"/>
      <c r="M239" s="19"/>
    </row>
    <row r="240" spans="1:15" ht="12.75" customHeight="1" x14ac:dyDescent="0.45">
      <c r="A240" s="18" t="s">
        <v>24</v>
      </c>
      <c r="B240" s="24" t="s">
        <v>19</v>
      </c>
      <c r="C240" s="39">
        <f t="shared" si="178"/>
        <v>299.36911466836222</v>
      </c>
      <c r="D240" s="39">
        <f t="shared" si="179"/>
        <v>85.64255365929661</v>
      </c>
      <c r="E240" s="39">
        <f t="shared" si="180"/>
        <v>213.72656100906562</v>
      </c>
      <c r="F240" s="39">
        <f t="shared" si="181"/>
        <v>1.4007108580934118</v>
      </c>
      <c r="G240" s="39">
        <f t="shared" si="182"/>
        <v>49.120508852298272</v>
      </c>
      <c r="H240" s="39">
        <f t="shared" si="183"/>
        <v>18.677514759525597</v>
      </c>
      <c r="I240" s="38">
        <f t="shared" si="184"/>
        <v>145.92853739724177</v>
      </c>
      <c r="J240" s="39">
        <f t="shared" si="185"/>
        <v>41.866539278818777</v>
      </c>
      <c r="K240" s="38">
        <f t="shared" si="186"/>
        <v>104.06199811842299</v>
      </c>
      <c r="L240" s="19"/>
      <c r="M240" s="19"/>
    </row>
    <row r="241" spans="1:18" ht="12.75" customHeight="1" x14ac:dyDescent="0.45">
      <c r="A241" s="18" t="s">
        <v>23</v>
      </c>
      <c r="B241" s="24" t="s">
        <v>17</v>
      </c>
      <c r="C241" s="39">
        <f t="shared" si="178"/>
        <v>296.47531044890911</v>
      </c>
      <c r="D241" s="39">
        <f t="shared" si="179"/>
        <v>72.66057904836201</v>
      </c>
      <c r="E241" s="39">
        <f t="shared" si="180"/>
        <v>223.81473140054709</v>
      </c>
      <c r="F241" s="39">
        <f t="shared" si="181"/>
        <v>1.3246460972147807</v>
      </c>
      <c r="G241" s="39">
        <f t="shared" si="182"/>
        <v>30.769447959831862</v>
      </c>
      <c r="H241" s="39">
        <f t="shared" si="183"/>
        <v>19.029033302256792</v>
      </c>
      <c r="I241" s="38">
        <f t="shared" si="184"/>
        <v>174.01625013845842</v>
      </c>
      <c r="J241" s="39">
        <f t="shared" si="185"/>
        <v>66.585169891505757</v>
      </c>
      <c r="K241" s="38">
        <f t="shared" si="186"/>
        <v>107.43108024695266</v>
      </c>
      <c r="L241" s="19"/>
      <c r="M241" s="19"/>
      <c r="N241" s="19"/>
      <c r="O241" s="19"/>
    </row>
    <row r="242" spans="1:18" ht="12.75" customHeight="1" x14ac:dyDescent="0.45">
      <c r="A242" s="18" t="s">
        <v>22</v>
      </c>
      <c r="B242" s="24" t="s">
        <v>21</v>
      </c>
      <c r="C242" s="39">
        <f t="shared" si="178"/>
        <v>245.75689695763705</v>
      </c>
      <c r="D242" s="39">
        <f t="shared" si="179"/>
        <v>79.701920106996738</v>
      </c>
      <c r="E242" s="39">
        <f t="shared" si="180"/>
        <v>166.05497685064032</v>
      </c>
      <c r="F242" s="39">
        <f t="shared" si="181"/>
        <v>1.4799730885433526</v>
      </c>
      <c r="G242" s="39">
        <f t="shared" si="182"/>
        <v>35.237033174529394</v>
      </c>
      <c r="H242" s="39">
        <f t="shared" si="183"/>
        <v>16.087957707556221</v>
      </c>
      <c r="I242" s="38">
        <f t="shared" si="184"/>
        <v>114.7299859685547</v>
      </c>
      <c r="J242" s="39">
        <f t="shared" si="185"/>
        <v>31.971350684308511</v>
      </c>
      <c r="K242" s="38">
        <f t="shared" si="186"/>
        <v>82.758635284246196</v>
      </c>
      <c r="L242" s="19"/>
      <c r="M242" s="19"/>
      <c r="N242" s="20"/>
      <c r="O242" s="20"/>
    </row>
    <row r="243" spans="1:18" ht="12.75" customHeight="1" x14ac:dyDescent="0.45">
      <c r="A243" s="18" t="s">
        <v>20</v>
      </c>
      <c r="B243" s="24" t="s">
        <v>19</v>
      </c>
      <c r="C243" s="39">
        <f t="shared" si="178"/>
        <v>267.66044490114598</v>
      </c>
      <c r="D243" s="39">
        <f t="shared" si="179"/>
        <v>59.031077872243884</v>
      </c>
      <c r="E243" s="39">
        <f t="shared" si="180"/>
        <v>208.6293670289021</v>
      </c>
      <c r="F243" s="39">
        <f t="shared" si="181"/>
        <v>1.282947116759771</v>
      </c>
      <c r="G243" s="39">
        <f t="shared" si="182"/>
        <v>21.64815352180759</v>
      </c>
      <c r="H243" s="39">
        <f t="shared" si="183"/>
        <v>15.718109824996574</v>
      </c>
      <c r="I243" s="38">
        <f t="shared" si="184"/>
        <v>171.26310368209795</v>
      </c>
      <c r="J243" s="39">
        <f t="shared" si="185"/>
        <v>54.694313905407085</v>
      </c>
      <c r="K243" s="38">
        <f t="shared" si="186"/>
        <v>116.56878977669086</v>
      </c>
      <c r="L243" s="19"/>
      <c r="M243" s="19"/>
    </row>
    <row r="244" spans="1:18" ht="12.75" customHeight="1" x14ac:dyDescent="0.45">
      <c r="A244" s="18" t="s">
        <v>18</v>
      </c>
      <c r="B244" s="24" t="s">
        <v>17</v>
      </c>
      <c r="C244" s="39">
        <f t="shared" si="178"/>
        <v>279.96257137022843</v>
      </c>
      <c r="D244" s="39">
        <f t="shared" si="179"/>
        <v>73.940242514498777</v>
      </c>
      <c r="E244" s="39">
        <f t="shared" si="180"/>
        <v>206.02232885572965</v>
      </c>
      <c r="F244" s="39">
        <f t="shared" si="181"/>
        <v>1.3588943146365295</v>
      </c>
      <c r="G244" s="39">
        <f t="shared" si="182"/>
        <v>26.021367903066572</v>
      </c>
      <c r="H244" s="39">
        <f t="shared" si="183"/>
        <v>14.6078247058263</v>
      </c>
      <c r="I244" s="38">
        <f t="shared" si="184"/>
        <v>165.3931362468368</v>
      </c>
      <c r="J244" s="39">
        <f t="shared" si="185"/>
        <v>53.691640991624006</v>
      </c>
      <c r="K244" s="38">
        <f t="shared" si="186"/>
        <v>111.70149525521279</v>
      </c>
      <c r="L244" s="19"/>
      <c r="M244" s="19"/>
    </row>
    <row r="245" spans="1:18" ht="12.75" customHeight="1" x14ac:dyDescent="0.45">
      <c r="B245" s="130" t="s">
        <v>119</v>
      </c>
      <c r="C245" s="37">
        <f t="shared" ref="C245:K245" si="187">AVERAGE(C239:C244)</f>
        <v>279.31256148425342</v>
      </c>
      <c r="D245" s="37">
        <f t="shared" si="187"/>
        <v>79.036868469892752</v>
      </c>
      <c r="E245" s="37">
        <f t="shared" si="187"/>
        <v>200.27569301436066</v>
      </c>
      <c r="F245" s="37">
        <f t="shared" si="187"/>
        <v>1.4016835695986334</v>
      </c>
      <c r="G245" s="37">
        <f t="shared" si="187"/>
        <v>34.520517727080239</v>
      </c>
      <c r="H245" s="37">
        <f t="shared" si="187"/>
        <v>17.242831639369772</v>
      </c>
      <c r="I245" s="37">
        <f t="shared" si="187"/>
        <v>148.51234364791065</v>
      </c>
      <c r="J245" s="37">
        <f t="shared" si="187"/>
        <v>52.170924802323192</v>
      </c>
      <c r="K245" s="37">
        <f t="shared" si="187"/>
        <v>96.341418845587455</v>
      </c>
      <c r="L245" s="19"/>
      <c r="M245" s="19"/>
      <c r="N245" s="20"/>
      <c r="O245" s="20"/>
    </row>
    <row r="246" spans="1:18" ht="12.75" customHeight="1" x14ac:dyDescent="0.45">
      <c r="B246" s="36"/>
      <c r="C246" s="36"/>
      <c r="D246" s="36"/>
      <c r="E246" s="36"/>
      <c r="F246" s="36"/>
      <c r="G246" s="36"/>
      <c r="H246" s="19"/>
      <c r="J246" s="35"/>
      <c r="K246" s="19"/>
      <c r="L246" s="19"/>
      <c r="M246" s="19"/>
    </row>
    <row r="247" spans="1:18" ht="12.75" customHeight="1" x14ac:dyDescent="0.45">
      <c r="B247" s="34"/>
      <c r="C247" s="33"/>
      <c r="D247" s="33"/>
      <c r="E247" s="33"/>
      <c r="F247" s="33"/>
      <c r="G247" s="33"/>
      <c r="H247" s="33"/>
      <c r="I247" s="33"/>
      <c r="J247" s="33"/>
      <c r="K247" s="33"/>
    </row>
    <row r="248" spans="1:18" ht="12.75" customHeight="1" x14ac:dyDescent="0.45">
      <c r="B248" s="32" t="s">
        <v>40</v>
      </c>
      <c r="C248" s="31" t="s">
        <v>39</v>
      </c>
      <c r="D248" s="31" t="s">
        <v>38</v>
      </c>
      <c r="E248" s="31" t="s">
        <v>36</v>
      </c>
      <c r="F248" s="31" t="s">
        <v>37</v>
      </c>
      <c r="G248" s="31" t="s">
        <v>36</v>
      </c>
      <c r="H248" s="31" t="s">
        <v>35</v>
      </c>
      <c r="I248" s="31"/>
      <c r="J248" s="31" t="s">
        <v>34</v>
      </c>
      <c r="K248" s="31"/>
      <c r="L248" s="31" t="s">
        <v>33</v>
      </c>
      <c r="M248" s="30" t="s">
        <v>32</v>
      </c>
    </row>
    <row r="249" spans="1:18" ht="12.75" customHeight="1" x14ac:dyDescent="0.45">
      <c r="A249" s="18" t="s">
        <v>23</v>
      </c>
      <c r="B249" s="29" t="s">
        <v>31</v>
      </c>
      <c r="C249" s="21">
        <f t="shared" ref="C249:C254" si="188">L103</f>
        <v>19346.096000000009</v>
      </c>
      <c r="D249" s="21">
        <f t="shared" ref="D249:D254" si="189">M128</f>
        <v>6020.0262557077667</v>
      </c>
      <c r="E249" s="21">
        <f t="shared" ref="E249:E254" si="190">D249/C249*100</f>
        <v>31.117524981307671</v>
      </c>
      <c r="F249" s="21">
        <f t="shared" ref="F249:F254" si="191">R128</f>
        <v>2388.96</v>
      </c>
      <c r="G249" s="21">
        <f t="shared" ref="G249:G269" si="192">F249/C249*100</f>
        <v>12.348537916900645</v>
      </c>
      <c r="H249" s="21">
        <f>SUM(75.2*5.01/0.239)</f>
        <v>1576.3682008368203</v>
      </c>
      <c r="I249" s="21">
        <f t="shared" ref="I249:I254" si="193">H249/C249*100</f>
        <v>8.1482496563483391</v>
      </c>
      <c r="J249" s="21">
        <f>4285.2-(1.43*Q128)</f>
        <v>4207.7025800000001</v>
      </c>
      <c r="K249" s="21">
        <f t="shared" ref="K249:K254" si="194">J249/C249*100</f>
        <v>21.749621112187175</v>
      </c>
      <c r="L249" s="21">
        <f t="shared" ref="L249:L254" si="195">C249-D249-F249-H249-J249</f>
        <v>5153.038963455424</v>
      </c>
      <c r="M249" s="23">
        <f t="shared" ref="M249:M254" si="196">L249/C249*100</f>
        <v>26.636066333256185</v>
      </c>
      <c r="O249" s="19"/>
      <c r="P249" s="19"/>
    </row>
    <row r="250" spans="1:18" ht="12.75" customHeight="1" x14ac:dyDescent="0.45">
      <c r="A250" s="18" t="s">
        <v>25</v>
      </c>
      <c r="B250" s="29" t="s">
        <v>30</v>
      </c>
      <c r="C250" s="21">
        <f t="shared" si="188"/>
        <v>19346.096000000009</v>
      </c>
      <c r="D250" s="21">
        <f t="shared" si="189"/>
        <v>8345.4266514167575</v>
      </c>
      <c r="E250" s="21">
        <f t="shared" si="190"/>
        <v>43.137523205802111</v>
      </c>
      <c r="F250" s="21">
        <f t="shared" si="191"/>
        <v>2330.0275000000001</v>
      </c>
      <c r="G250" s="21">
        <f t="shared" si="192"/>
        <v>12.043915733696345</v>
      </c>
      <c r="H250" s="21">
        <f>SUM(63.9*5.01/0.239)</f>
        <v>1339.4937238493721</v>
      </c>
      <c r="I250" s="21">
        <f t="shared" si="193"/>
        <v>6.9238451202215252</v>
      </c>
      <c r="J250" s="21">
        <f>3435.1-(1.43*Q129)</f>
        <v>3369.4340425</v>
      </c>
      <c r="K250" s="21">
        <f t="shared" si="194"/>
        <v>17.416609751652214</v>
      </c>
      <c r="L250" s="21">
        <f t="shared" si="195"/>
        <v>3961.7140822338788</v>
      </c>
      <c r="M250" s="23">
        <f t="shared" si="196"/>
        <v>20.478106188627809</v>
      </c>
      <c r="O250" s="20"/>
      <c r="P250" s="20"/>
    </row>
    <row r="251" spans="1:18" ht="12.75" customHeight="1" x14ac:dyDescent="0.45">
      <c r="A251" s="18" t="s">
        <v>24</v>
      </c>
      <c r="B251" s="29" t="s">
        <v>29</v>
      </c>
      <c r="C251" s="21">
        <f t="shared" si="188"/>
        <v>19346.096000000009</v>
      </c>
      <c r="D251" s="21">
        <f t="shared" si="189"/>
        <v>6592.8106337570171</v>
      </c>
      <c r="E251" s="21">
        <f t="shared" si="190"/>
        <v>34.078248313029228</v>
      </c>
      <c r="F251" s="21">
        <f t="shared" si="191"/>
        <v>1504.4850000000001</v>
      </c>
      <c r="G251" s="21">
        <f t="shared" si="192"/>
        <v>7.7766852805858058</v>
      </c>
      <c r="H251" s="21">
        <f>SUM(56.5*5.01/0.239)</f>
        <v>1184.3723849372386</v>
      </c>
      <c r="I251" s="21">
        <f t="shared" si="193"/>
        <v>6.122022680634057</v>
      </c>
      <c r="J251" s="21">
        <f>3844.4-(1.43*Q130)</f>
        <v>3795.1636699999999</v>
      </c>
      <c r="K251" s="21">
        <f t="shared" si="194"/>
        <v>19.617206851449502</v>
      </c>
      <c r="L251" s="21">
        <f t="shared" si="195"/>
        <v>6269.2643113057529</v>
      </c>
      <c r="M251" s="23">
        <f t="shared" si="196"/>
        <v>32.405836874301407</v>
      </c>
      <c r="O251" s="20"/>
      <c r="P251" s="20"/>
    </row>
    <row r="252" spans="1:18" ht="12.75" customHeight="1" x14ac:dyDescent="0.45">
      <c r="A252" s="27" t="s">
        <v>18</v>
      </c>
      <c r="B252" s="29" t="s">
        <v>31</v>
      </c>
      <c r="C252" s="21">
        <f t="shared" si="188"/>
        <v>21199.920000000009</v>
      </c>
      <c r="D252" s="21">
        <f t="shared" si="189"/>
        <v>4781.1843505666911</v>
      </c>
      <c r="E252" s="21">
        <f t="shared" si="190"/>
        <v>22.552841475659761</v>
      </c>
      <c r="F252" s="21">
        <f t="shared" si="191"/>
        <v>3105.0610900000001</v>
      </c>
      <c r="G252" s="21">
        <f t="shared" si="192"/>
        <v>14.646569845546582</v>
      </c>
      <c r="H252" s="21">
        <f>SUM(70.2*5.01/0.239)</f>
        <v>1471.5564853556486</v>
      </c>
      <c r="I252" s="21">
        <f t="shared" si="193"/>
        <v>6.9413303699053959</v>
      </c>
      <c r="J252" s="21">
        <f>3682.8-(1.43*Q131)</f>
        <v>3575.00233002</v>
      </c>
      <c r="K252" s="21">
        <f t="shared" si="194"/>
        <v>16.86328217285725</v>
      </c>
      <c r="L252" s="21">
        <f t="shared" si="195"/>
        <v>8267.1157440576717</v>
      </c>
      <c r="M252" s="23">
        <f t="shared" si="196"/>
        <v>38.995976136031025</v>
      </c>
      <c r="N252" s="19"/>
      <c r="O252" s="20"/>
      <c r="P252" s="20"/>
      <c r="Q252" s="19"/>
    </row>
    <row r="253" spans="1:18" ht="12.75" customHeight="1" x14ac:dyDescent="0.45">
      <c r="A253" s="27" t="s">
        <v>22</v>
      </c>
      <c r="B253" s="29" t="s">
        <v>30</v>
      </c>
      <c r="C253" s="21">
        <f t="shared" si="188"/>
        <v>21199.920000000009</v>
      </c>
      <c r="D253" s="21">
        <f t="shared" si="189"/>
        <v>6510.3508424314068</v>
      </c>
      <c r="E253" s="21">
        <f t="shared" si="190"/>
        <v>30.709317971159344</v>
      </c>
      <c r="F253" s="21">
        <f t="shared" si="191"/>
        <v>3021.2400000000002</v>
      </c>
      <c r="G253" s="21">
        <f t="shared" si="192"/>
        <v>14.251185853531517</v>
      </c>
      <c r="H253" s="21">
        <f>SUM(56.5*5.01/0.239)</f>
        <v>1184.3723849372386</v>
      </c>
      <c r="I253" s="21">
        <f t="shared" si="193"/>
        <v>5.5866832749238586</v>
      </c>
      <c r="J253" s="21">
        <f>3383-(1.43*Q132)</f>
        <v>3300.40463</v>
      </c>
      <c r="K253" s="21">
        <f t="shared" si="194"/>
        <v>15.568005115113634</v>
      </c>
      <c r="L253" s="21">
        <f t="shared" si="195"/>
        <v>7183.5521426313653</v>
      </c>
      <c r="M253" s="23">
        <f t="shared" si="196"/>
        <v>33.884807785271654</v>
      </c>
      <c r="O253" s="19"/>
      <c r="P253" s="19"/>
    </row>
    <row r="254" spans="1:18" ht="12.75" customHeight="1" x14ac:dyDescent="0.45">
      <c r="A254" s="27" t="s">
        <v>20</v>
      </c>
      <c r="B254" s="29" t="s">
        <v>29</v>
      </c>
      <c r="C254" s="21">
        <f t="shared" si="188"/>
        <v>21199.920000000009</v>
      </c>
      <c r="D254" s="21">
        <f t="shared" si="189"/>
        <v>4740.1060927703556</v>
      </c>
      <c r="E254" s="21">
        <f t="shared" si="190"/>
        <v>22.359075377503093</v>
      </c>
      <c r="F254" s="21">
        <f t="shared" si="191"/>
        <v>1325.68</v>
      </c>
      <c r="G254" s="21">
        <f t="shared" si="192"/>
        <v>6.253231144268466</v>
      </c>
      <c r="H254" s="21">
        <f>SUM(58.1*5.01/0.239)</f>
        <v>1217.9121338912134</v>
      </c>
      <c r="I254" s="21">
        <f t="shared" si="193"/>
        <v>5.7448902349217024</v>
      </c>
      <c r="J254" s="21">
        <f>5140.8-(1.43*Q133)</f>
        <v>5069.8148000000001</v>
      </c>
      <c r="K254" s="21">
        <f t="shared" si="194"/>
        <v>23.91431099739998</v>
      </c>
      <c r="L254" s="21">
        <f t="shared" si="195"/>
        <v>8846.4069733384404</v>
      </c>
      <c r="M254" s="23">
        <f t="shared" si="196"/>
        <v>41.728492245906764</v>
      </c>
      <c r="O254" s="20"/>
      <c r="P254" s="20"/>
    </row>
    <row r="255" spans="1:18" ht="12.75" customHeight="1" x14ac:dyDescent="0.45">
      <c r="B255" s="131" t="s">
        <v>119</v>
      </c>
      <c r="C255" s="21">
        <f>AVERAGE(C251:C252)</f>
        <v>20273.008000000009</v>
      </c>
      <c r="D255" s="21">
        <f>AVERAGE(D251:D252)</f>
        <v>5686.9974921618541</v>
      </c>
      <c r="E255" s="21"/>
      <c r="F255" s="21">
        <f>AVERAGE(F251:F252)</f>
        <v>2304.7730449999999</v>
      </c>
      <c r="G255" s="21">
        <f t="shared" si="192"/>
        <v>11.368678219828054</v>
      </c>
      <c r="H255" s="22">
        <f>AVERAGE(H249:H254)</f>
        <v>1329.0125523012555</v>
      </c>
      <c r="I255" s="22"/>
      <c r="J255" s="21">
        <f>AVERAGE(J251:J252)</f>
        <v>3685.08300001</v>
      </c>
      <c r="K255" s="21"/>
      <c r="L255" s="21">
        <f>AVERAGE(L251:L252)</f>
        <v>7268.1900276817123</v>
      </c>
      <c r="M255" s="21">
        <f>AVERAGE(M251:M252)</f>
        <v>35.700906505166216</v>
      </c>
      <c r="N255" s="19"/>
      <c r="O255" s="20"/>
      <c r="P255" s="20"/>
      <c r="Q255" s="19"/>
    </row>
    <row r="256" spans="1:18" ht="12.75" customHeight="1" x14ac:dyDescent="0.45">
      <c r="A256" s="27" t="s">
        <v>24</v>
      </c>
      <c r="B256" s="24" t="s">
        <v>28</v>
      </c>
      <c r="C256" s="25">
        <f t="shared" ref="C256:C261" si="197">L110</f>
        <v>19460.784000000007</v>
      </c>
      <c r="D256" s="25">
        <f t="shared" ref="D256:D261" si="198">M135</f>
        <v>4082.8011173569912</v>
      </c>
      <c r="E256" s="21">
        <f t="shared" ref="E256:E261" si="199">D256/C256*100</f>
        <v>20.979633283823457</v>
      </c>
      <c r="F256" s="25">
        <f t="shared" ref="F256:F261" si="200">R135</f>
        <v>4490.7425000000003</v>
      </c>
      <c r="G256" s="21">
        <f t="shared" si="192"/>
        <v>23.075856039510015</v>
      </c>
      <c r="H256" s="25">
        <f>SUM(67.8*5.01/0.239)</f>
        <v>1421.2468619246863</v>
      </c>
      <c r="I256" s="21">
        <f t="shared" ref="I256:I261" si="201">H256/C256*100</f>
        <v>7.3031326072201708</v>
      </c>
      <c r="J256" s="25">
        <f>3704.3-(1.43*Q135)</f>
        <v>3639.6203850000002</v>
      </c>
      <c r="K256" s="21">
        <f t="shared" ref="K256:K261" si="202">J256/C256*100</f>
        <v>18.702331750868819</v>
      </c>
      <c r="L256" s="25">
        <f t="shared" ref="L256:L261" si="203">C256-D256-F256-H256-J256</f>
        <v>5826.3731357183296</v>
      </c>
      <c r="M256" s="26">
        <f t="shared" ref="M256:M261" si="204">L256/C256*100</f>
        <v>29.939046318577546</v>
      </c>
      <c r="N256" s="19"/>
      <c r="O256" s="19"/>
      <c r="P256" s="19"/>
      <c r="Q256" s="19"/>
      <c r="R256" s="19"/>
    </row>
    <row r="257" spans="1:18" ht="12.75" customHeight="1" x14ac:dyDescent="0.45">
      <c r="A257" s="27" t="s">
        <v>23</v>
      </c>
      <c r="B257" s="24" t="s">
        <v>27</v>
      </c>
      <c r="C257" s="25">
        <f t="shared" si="197"/>
        <v>19460.784000000007</v>
      </c>
      <c r="D257" s="25">
        <f t="shared" si="198"/>
        <v>5940.9470108801015</v>
      </c>
      <c r="E257" s="21">
        <f t="shared" si="199"/>
        <v>30.527788658874687</v>
      </c>
      <c r="F257" s="25">
        <f t="shared" si="200"/>
        <v>2108.4375</v>
      </c>
      <c r="G257" s="21">
        <f t="shared" si="192"/>
        <v>10.83428858775679</v>
      </c>
      <c r="H257" s="25">
        <f>SUM(73.8*5.01/0.239)</f>
        <v>1547.0209205020919</v>
      </c>
      <c r="I257" s="21">
        <f t="shared" si="201"/>
        <v>7.9494275282131044</v>
      </c>
      <c r="J257" s="25">
        <f>4722.2-(1.43*Q136)</f>
        <v>4641.7982499999998</v>
      </c>
      <c r="K257" s="21">
        <f t="shared" si="202"/>
        <v>23.852061921040786</v>
      </c>
      <c r="L257" s="25">
        <f t="shared" si="203"/>
        <v>5222.5803186178127</v>
      </c>
      <c r="M257" s="26">
        <f t="shared" si="204"/>
        <v>26.836433304114628</v>
      </c>
      <c r="N257" s="19"/>
      <c r="O257" s="19"/>
      <c r="P257" s="19"/>
      <c r="Q257" s="19"/>
    </row>
    <row r="258" spans="1:18" ht="12.75" customHeight="1" x14ac:dyDescent="0.45">
      <c r="A258" s="18" t="s">
        <v>25</v>
      </c>
      <c r="B258" s="24" t="s">
        <v>26</v>
      </c>
      <c r="C258" s="25">
        <f t="shared" si="197"/>
        <v>19460.784000000007</v>
      </c>
      <c r="D258" s="25">
        <f t="shared" si="198"/>
        <v>6500.7962549772928</v>
      </c>
      <c r="E258" s="21">
        <f t="shared" si="199"/>
        <v>33.404595904138759</v>
      </c>
      <c r="F258" s="25">
        <f t="shared" si="200"/>
        <v>3038.2328499999999</v>
      </c>
      <c r="G258" s="21">
        <f t="shared" si="192"/>
        <v>15.612078372587654</v>
      </c>
      <c r="H258" s="25">
        <f>SUM(53.7*5.01/0.239)</f>
        <v>1125.6778242677824</v>
      </c>
      <c r="I258" s="21">
        <f t="shared" si="201"/>
        <v>5.7843395428867721</v>
      </c>
      <c r="J258" s="25">
        <f>3704.3-(1.43*Q137)</f>
        <v>3620.40286668</v>
      </c>
      <c r="K258" s="21">
        <f t="shared" si="202"/>
        <v>18.603581781083427</v>
      </c>
      <c r="L258" s="25">
        <f t="shared" si="203"/>
        <v>5175.6742040749305</v>
      </c>
      <c r="M258" s="26">
        <f t="shared" si="204"/>
        <v>26.59540439930338</v>
      </c>
      <c r="N258" s="19"/>
      <c r="O258" s="19"/>
      <c r="P258" s="19"/>
      <c r="Q258" s="19"/>
    </row>
    <row r="259" spans="1:18" ht="12.75" customHeight="1" x14ac:dyDescent="0.45">
      <c r="A259" s="18" t="s">
        <v>20</v>
      </c>
      <c r="B259" s="24" t="s">
        <v>28</v>
      </c>
      <c r="C259" s="25">
        <f t="shared" si="197"/>
        <v>21328.944000000007</v>
      </c>
      <c r="D259" s="25">
        <f t="shared" si="198"/>
        <v>4366.2368194727169</v>
      </c>
      <c r="E259" s="21">
        <f t="shared" si="199"/>
        <v>20.470946988621264</v>
      </c>
      <c r="F259" s="25">
        <f t="shared" si="200"/>
        <v>1804.3050000000001</v>
      </c>
      <c r="G259" s="21">
        <f t="shared" si="192"/>
        <v>8.4594202132088654</v>
      </c>
      <c r="H259" s="25">
        <f>SUM(57*5.01/0.239)</f>
        <v>1194.8535564853557</v>
      </c>
      <c r="I259" s="21">
        <f t="shared" si="201"/>
        <v>5.602028663422602</v>
      </c>
      <c r="J259" s="25">
        <f>3690.6-(1.43*Q138)</f>
        <v>3630.1639099999998</v>
      </c>
      <c r="K259" s="21">
        <f t="shared" si="202"/>
        <v>17.019895171556541</v>
      </c>
      <c r="L259" s="25">
        <f t="shared" si="203"/>
        <v>10333.384714041935</v>
      </c>
      <c r="M259" s="26">
        <f t="shared" si="204"/>
        <v>48.447708963190735</v>
      </c>
      <c r="N259" s="19"/>
      <c r="O259" s="19"/>
      <c r="P259" s="19"/>
      <c r="Q259" s="19"/>
    </row>
    <row r="260" spans="1:18" ht="12.75" customHeight="1" x14ac:dyDescent="0.45">
      <c r="A260" s="18" t="s">
        <v>18</v>
      </c>
      <c r="B260" s="24" t="s">
        <v>27</v>
      </c>
      <c r="C260" s="25">
        <f t="shared" si="197"/>
        <v>21328.944000000007</v>
      </c>
      <c r="D260" s="25">
        <f t="shared" si="198"/>
        <v>5245.7637945615579</v>
      </c>
      <c r="E260" s="21">
        <f t="shared" si="199"/>
        <v>24.594578121455786</v>
      </c>
      <c r="F260" s="25">
        <f t="shared" si="200"/>
        <v>2159.85</v>
      </c>
      <c r="G260" s="21">
        <f t="shared" si="192"/>
        <v>10.126380377762722</v>
      </c>
      <c r="H260" s="25">
        <f>SUM(89*5.01/0.239)</f>
        <v>1865.6485355648535</v>
      </c>
      <c r="I260" s="21">
        <f t="shared" si="201"/>
        <v>8.7470272113089749</v>
      </c>
      <c r="J260" s="25">
        <f>6198.5-(1.43*Q139)</f>
        <v>6119.2208000000001</v>
      </c>
      <c r="K260" s="21">
        <f t="shared" si="202"/>
        <v>28.689750416148112</v>
      </c>
      <c r="L260" s="25">
        <f t="shared" si="203"/>
        <v>5938.4608698735965</v>
      </c>
      <c r="M260" s="26">
        <f t="shared" si="204"/>
        <v>27.842263873324413</v>
      </c>
      <c r="N260" s="19"/>
      <c r="O260" s="19"/>
      <c r="P260" s="19"/>
      <c r="Q260" s="19"/>
      <c r="R260" s="19"/>
    </row>
    <row r="261" spans="1:18" ht="12.75" customHeight="1" x14ac:dyDescent="0.45">
      <c r="A261" s="18" t="s">
        <v>22</v>
      </c>
      <c r="B261" s="24" t="s">
        <v>26</v>
      </c>
      <c r="C261" s="25">
        <f t="shared" si="197"/>
        <v>21328.944000000007</v>
      </c>
      <c r="D261" s="25">
        <f t="shared" si="198"/>
        <v>6030.0051294950254</v>
      </c>
      <c r="E261" s="21">
        <f t="shared" si="199"/>
        <v>28.271465898616562</v>
      </c>
      <c r="F261" s="25">
        <f t="shared" si="200"/>
        <v>3123.3675000000003</v>
      </c>
      <c r="G261" s="21">
        <f t="shared" si="192"/>
        <v>14.643798117712716</v>
      </c>
      <c r="H261" s="25">
        <f>SUM(74.2*5.01/0.239)</f>
        <v>1555.4058577405858</v>
      </c>
      <c r="I261" s="21">
        <f t="shared" si="201"/>
        <v>7.2924653829115282</v>
      </c>
      <c r="J261" s="25">
        <f>5484.5-(1.43*Q140)</f>
        <v>5402.6725399999996</v>
      </c>
      <c r="K261" s="21">
        <f t="shared" si="202"/>
        <v>25.330239227971145</v>
      </c>
      <c r="L261" s="25">
        <f t="shared" si="203"/>
        <v>5217.4929727643976</v>
      </c>
      <c r="M261" s="26">
        <f t="shared" si="204"/>
        <v>24.462031372788058</v>
      </c>
      <c r="N261" s="19"/>
      <c r="O261" s="19"/>
      <c r="P261" s="19"/>
      <c r="Q261" s="19"/>
    </row>
    <row r="262" spans="1:18" ht="12.75" customHeight="1" x14ac:dyDescent="0.45">
      <c r="B262" s="130" t="s">
        <v>119</v>
      </c>
      <c r="C262" s="25">
        <f>AVERAGE(C258:C259)</f>
        <v>20394.864000000009</v>
      </c>
      <c r="D262" s="25">
        <f>AVERAGE(D258:D259)</f>
        <v>5433.5165372250049</v>
      </c>
      <c r="E262" s="25"/>
      <c r="F262" s="25">
        <f>AVERAGE(F258:F259)</f>
        <v>2421.2689249999999</v>
      </c>
      <c r="G262" s="21">
        <f t="shared" si="192"/>
        <v>11.871954257699384</v>
      </c>
      <c r="H262" s="22">
        <f>AVERAGE(H256:H261)</f>
        <v>1451.6422594142259</v>
      </c>
      <c r="I262" s="22"/>
      <c r="J262" s="25">
        <f>AVERAGE(J258:J259)</f>
        <v>3625.2833883399999</v>
      </c>
      <c r="K262" s="25"/>
      <c r="L262" s="25">
        <f>AVERAGE(L258:L259)</f>
        <v>7754.5294590584326</v>
      </c>
      <c r="M262" s="25">
        <f>AVERAGE(M258:M259)</f>
        <v>37.521556681247056</v>
      </c>
      <c r="P262" s="19"/>
      <c r="Q262" s="19"/>
    </row>
    <row r="263" spans="1:18" ht="12.75" customHeight="1" x14ac:dyDescent="0.45">
      <c r="A263" s="18" t="s">
        <v>25</v>
      </c>
      <c r="B263" s="24" t="s">
        <v>21</v>
      </c>
      <c r="C263" s="21">
        <f t="shared" ref="C263:C268" si="205">L117</f>
        <v>19857.072</v>
      </c>
      <c r="D263" s="21">
        <f t="shared" ref="D263:D268" si="206">M142</f>
        <v>7152.0418754763232</v>
      </c>
      <c r="E263" s="21">
        <f t="shared" ref="E263:E268" si="207">D263/C263*100</f>
        <v>36.017605593998567</v>
      </c>
      <c r="F263" s="21">
        <f t="shared" ref="F263:F268" si="208">R142</f>
        <v>3070.6200000000003</v>
      </c>
      <c r="G263" s="21">
        <f t="shared" si="192"/>
        <v>15.463609136331884</v>
      </c>
      <c r="H263" s="21">
        <f>SUM(63.9*5.01/0.239)</f>
        <v>1339.4937238493721</v>
      </c>
      <c r="I263" s="21">
        <f t="shared" ref="I263:I268" si="209">H263/C263*100</f>
        <v>6.7456759176245731</v>
      </c>
      <c r="J263" s="21">
        <f>4534.7-(1.43*Q142)</f>
        <v>4448.4484775000001</v>
      </c>
      <c r="K263" s="21">
        <f t="shared" ref="K263:K268" si="210">J263/C263*100</f>
        <v>22.402338459063852</v>
      </c>
      <c r="L263" s="21">
        <f t="shared" ref="L263:L268" si="211">C263-D263-F263-H263-J263</f>
        <v>3846.4679231743048</v>
      </c>
      <c r="M263" s="23">
        <f t="shared" ref="M263:M268" si="212">L263/C263*100</f>
        <v>19.370770892981124</v>
      </c>
      <c r="O263" s="19"/>
      <c r="P263" s="19"/>
    </row>
    <row r="264" spans="1:18" ht="12.75" customHeight="1" x14ac:dyDescent="0.45">
      <c r="A264" s="18" t="s">
        <v>24</v>
      </c>
      <c r="B264" s="24" t="s">
        <v>19</v>
      </c>
      <c r="C264" s="21">
        <f t="shared" si="205"/>
        <v>19857.072</v>
      </c>
      <c r="D264" s="21">
        <f t="shared" si="206"/>
        <v>5680.6473044503391</v>
      </c>
      <c r="E264" s="21">
        <f t="shared" si="207"/>
        <v>28.607678435422599</v>
      </c>
      <c r="F264" s="21">
        <f t="shared" si="208"/>
        <v>3258.1499999999996</v>
      </c>
      <c r="G264" s="21">
        <f t="shared" si="192"/>
        <v>16.408008189727063</v>
      </c>
      <c r="H264" s="21">
        <f>SUM(59.1*5.01/0.239)</f>
        <v>1238.8744769874477</v>
      </c>
      <c r="I264" s="21">
        <f t="shared" si="209"/>
        <v>6.2389584778030098</v>
      </c>
      <c r="J264" s="21">
        <f>2850.9-(1.43*Q143)</f>
        <v>2776.9961699999999</v>
      </c>
      <c r="K264" s="21">
        <f t="shared" si="210"/>
        <v>13.984922701594677</v>
      </c>
      <c r="L264" s="21">
        <f t="shared" si="211"/>
        <v>6902.4040485622118</v>
      </c>
      <c r="M264" s="23">
        <f t="shared" si="212"/>
        <v>34.760432195452637</v>
      </c>
      <c r="O264" s="20"/>
      <c r="P264" s="20"/>
    </row>
    <row r="265" spans="1:18" ht="12.75" customHeight="1" x14ac:dyDescent="0.45">
      <c r="A265" s="18" t="s">
        <v>23</v>
      </c>
      <c r="B265" s="24" t="s">
        <v>17</v>
      </c>
      <c r="C265" s="21">
        <f t="shared" si="205"/>
        <v>19857.072</v>
      </c>
      <c r="D265" s="21">
        <f t="shared" si="206"/>
        <v>4866.5986639506518</v>
      </c>
      <c r="E265" s="21">
        <f t="shared" si="207"/>
        <v>24.508138279151385</v>
      </c>
      <c r="F265" s="21">
        <f t="shared" si="208"/>
        <v>2060.85</v>
      </c>
      <c r="G265" s="21">
        <f t="shared" si="192"/>
        <v>10.378418328744539</v>
      </c>
      <c r="H265" s="21">
        <f>SUM(60.8*5.01/0.239)</f>
        <v>1274.510460251046</v>
      </c>
      <c r="I265" s="21">
        <f t="shared" si="209"/>
        <v>6.4184209044064797</v>
      </c>
      <c r="J265" s="21">
        <f>4534.7-(1.43*Q144)</f>
        <v>4459.6850599999998</v>
      </c>
      <c r="K265" s="21">
        <f t="shared" si="210"/>
        <v>22.458925767102016</v>
      </c>
      <c r="L265" s="21">
        <f t="shared" si="211"/>
        <v>7195.4278157983026</v>
      </c>
      <c r="M265" s="23">
        <f t="shared" si="212"/>
        <v>36.236096720595576</v>
      </c>
      <c r="O265" s="20"/>
      <c r="P265" s="20"/>
    </row>
    <row r="266" spans="1:18" ht="12.75" customHeight="1" x14ac:dyDescent="0.45">
      <c r="A266" s="18" t="s">
        <v>22</v>
      </c>
      <c r="B266" s="24" t="s">
        <v>21</v>
      </c>
      <c r="C266" s="21">
        <f t="shared" si="205"/>
        <v>21774.768</v>
      </c>
      <c r="D266" s="21">
        <f t="shared" si="206"/>
        <v>7061.8193872440879</v>
      </c>
      <c r="E266" s="21">
        <f t="shared" si="207"/>
        <v>32.431203800858349</v>
      </c>
      <c r="F266" s="21">
        <f t="shared" si="208"/>
        <v>3122.1025</v>
      </c>
      <c r="G266" s="21">
        <f t="shared" si="192"/>
        <v>14.338166542118842</v>
      </c>
      <c r="H266" s="21">
        <f>SUM(68*5.01/0.239)</f>
        <v>1425.4393305439332</v>
      </c>
      <c r="I266" s="21">
        <f t="shared" si="209"/>
        <v>6.5462894049843987</v>
      </c>
      <c r="J266" s="21">
        <f>2888.1-(1.43*Q145)</f>
        <v>2832.7536375</v>
      </c>
      <c r="K266" s="21">
        <f t="shared" si="210"/>
        <v>13.009340156919238</v>
      </c>
      <c r="L266" s="21">
        <f t="shared" si="211"/>
        <v>7332.6531447119796</v>
      </c>
      <c r="M266" s="23">
        <f t="shared" si="212"/>
        <v>33.675000095119174</v>
      </c>
      <c r="N266" s="19"/>
      <c r="O266" s="20"/>
      <c r="P266" s="20"/>
      <c r="Q266" s="19"/>
    </row>
    <row r="267" spans="1:18" ht="12.75" customHeight="1" x14ac:dyDescent="0.45">
      <c r="A267" s="18" t="s">
        <v>20</v>
      </c>
      <c r="B267" s="24" t="s">
        <v>19</v>
      </c>
      <c r="C267" s="21">
        <f t="shared" si="205"/>
        <v>21774.768</v>
      </c>
      <c r="D267" s="21">
        <f t="shared" si="206"/>
        <v>4802.3084842916251</v>
      </c>
      <c r="E267" s="21">
        <f t="shared" si="207"/>
        <v>22.054464526518146</v>
      </c>
      <c r="F267" s="21">
        <f t="shared" si="208"/>
        <v>1761.1250730000002</v>
      </c>
      <c r="G267" s="21">
        <f t="shared" si="192"/>
        <v>8.0879165876761583</v>
      </c>
      <c r="H267" s="21">
        <f>SUM(61*5.01/0.239)</f>
        <v>1278.7029288702929</v>
      </c>
      <c r="I267" s="21">
        <f t="shared" si="209"/>
        <v>5.8724066721183572</v>
      </c>
      <c r="J267" s="21">
        <f>4536.9-(1.43*Q146)</f>
        <v>4449.5031630439998</v>
      </c>
      <c r="K267" s="21">
        <f t="shared" si="210"/>
        <v>20.434216167281321</v>
      </c>
      <c r="L267" s="21">
        <f t="shared" si="211"/>
        <v>9483.1283507940825</v>
      </c>
      <c r="M267" s="23">
        <f t="shared" si="212"/>
        <v>43.550996046406013</v>
      </c>
      <c r="O267" s="19"/>
      <c r="P267" s="19"/>
    </row>
    <row r="268" spans="1:18" ht="12.75" customHeight="1" x14ac:dyDescent="0.45">
      <c r="A268" s="18" t="s">
        <v>18</v>
      </c>
      <c r="B268" s="24" t="s">
        <v>17</v>
      </c>
      <c r="C268" s="21">
        <f t="shared" si="205"/>
        <v>21774.768</v>
      </c>
      <c r="D268" s="21">
        <f t="shared" si="206"/>
        <v>5750.881693709719</v>
      </c>
      <c r="E268" s="21">
        <f t="shared" si="207"/>
        <v>26.410759892871049</v>
      </c>
      <c r="F268" s="21">
        <f t="shared" si="208"/>
        <v>2023.875</v>
      </c>
      <c r="G268" s="21">
        <f t="shared" si="192"/>
        <v>9.2945881214440487</v>
      </c>
      <c r="H268" s="21">
        <f>SUM(54.2*5.01/0.239)</f>
        <v>1136.1589958158997</v>
      </c>
      <c r="I268" s="21">
        <f t="shared" si="209"/>
        <v>5.2177777316199183</v>
      </c>
      <c r="J268" s="21">
        <f>4264.2-(1.43*Q147)</f>
        <v>4175.9975999999997</v>
      </c>
      <c r="K268" s="21">
        <f t="shared" si="210"/>
        <v>19.178149682237716</v>
      </c>
      <c r="L268" s="21">
        <f t="shared" si="211"/>
        <v>8687.8547104743811</v>
      </c>
      <c r="M268" s="23">
        <f t="shared" si="212"/>
        <v>39.898724571827273</v>
      </c>
      <c r="O268" s="20"/>
      <c r="P268" s="20"/>
    </row>
    <row r="269" spans="1:18" ht="12.75" customHeight="1" x14ac:dyDescent="0.45">
      <c r="B269" s="130" t="s">
        <v>119</v>
      </c>
      <c r="C269" s="21">
        <f>AVERAGE(C265:C266)</f>
        <v>20815.919999999998</v>
      </c>
      <c r="D269" s="21">
        <f>AVERAGE(D265:D266)</f>
        <v>5964.2090255973699</v>
      </c>
      <c r="E269" s="21"/>
      <c r="F269" s="21">
        <f>AVERAGE(F265:F266)</f>
        <v>2591.4762499999997</v>
      </c>
      <c r="G269" s="21">
        <f t="shared" si="192"/>
        <v>12.44949178321208</v>
      </c>
      <c r="H269" s="22">
        <f>AVERAGE(H263:H268)</f>
        <v>1282.1966527196653</v>
      </c>
      <c r="I269" s="22"/>
      <c r="J269" s="21">
        <f>AVERAGE(J265:J266)</f>
        <v>3646.2193487499999</v>
      </c>
      <c r="K269" s="21"/>
      <c r="L269" s="21">
        <f>AVERAGE(L265:L266)</f>
        <v>7264.0404802551411</v>
      </c>
      <c r="M269" s="21">
        <f>AVERAGE(M265:M266)</f>
        <v>34.955548407857378</v>
      </c>
      <c r="N269" s="19"/>
      <c r="O269" s="20"/>
      <c r="P269" s="20"/>
      <c r="Q269" s="19"/>
    </row>
  </sheetData>
  <mergeCells count="46">
    <mergeCell ref="N126:R126"/>
    <mergeCell ref="O26:O27"/>
    <mergeCell ref="B126:B127"/>
    <mergeCell ref="C126:M126"/>
    <mergeCell ref="B43:B44"/>
    <mergeCell ref="B45:B46"/>
    <mergeCell ref="B58:C58"/>
    <mergeCell ref="B59:B60"/>
    <mergeCell ref="B47:B48"/>
    <mergeCell ref="B53:B54"/>
    <mergeCell ref="B55:B56"/>
    <mergeCell ref="O59:Q59"/>
    <mergeCell ref="C59:N59"/>
    <mergeCell ref="G26:H26"/>
    <mergeCell ref="J26:K26"/>
    <mergeCell ref="P26:Q26"/>
    <mergeCell ref="B26:B27"/>
    <mergeCell ref="E26:E27"/>
    <mergeCell ref="F26:F27"/>
    <mergeCell ref="I26:I27"/>
    <mergeCell ref="B1:D1"/>
    <mergeCell ref="B3:B4"/>
    <mergeCell ref="E3:E4"/>
    <mergeCell ref="F3:F4"/>
    <mergeCell ref="I3:I4"/>
    <mergeCell ref="G3:H3"/>
    <mergeCell ref="G17:H17"/>
    <mergeCell ref="P3:Q3"/>
    <mergeCell ref="L3:L4"/>
    <mergeCell ref="M3:N3"/>
    <mergeCell ref="O3:O4"/>
    <mergeCell ref="I17:I18"/>
    <mergeCell ref="L17:L18"/>
    <mergeCell ref="M17:N17"/>
    <mergeCell ref="J3:K3"/>
    <mergeCell ref="O17:O18"/>
    <mergeCell ref="P17:Q17"/>
    <mergeCell ref="B51:B52"/>
    <mergeCell ref="B39:C39"/>
    <mergeCell ref="B41:B42"/>
    <mergeCell ref="B17:B18"/>
    <mergeCell ref="E17:E18"/>
    <mergeCell ref="L26:L27"/>
    <mergeCell ref="M26:N26"/>
    <mergeCell ref="F17:F18"/>
    <mergeCell ref="J17:K17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0. Abbreviation</vt:lpstr>
      <vt:lpstr>1. Rumen Fluid</vt:lpstr>
      <vt:lpstr>2. CH4 prodt.</vt:lpstr>
      <vt:lpstr>3. Intakes and Energy balnace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2022-09-16T01:55:57Z</dcterms:created>
  <dcterms:modified xsi:type="dcterms:W3CDTF">2023-12-11T08:50:36Z</dcterms:modified>
</cp:coreProperties>
</file>