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ml.chartshape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filterPrivacy="1" defaultThemeVersion="124226"/>
  <xr:revisionPtr revIDLastSave="0" documentId="13_ncr:1_{A8926B67-3E0D-421A-B9BE-1131DA966C7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MBC" sheetId="8" r:id="rId1"/>
    <sheet name="WEOC" sheetId="2" r:id="rId2"/>
    <sheet name="Moisture" sheetId="4" r:id="rId3"/>
    <sheet name="APA" sheetId="7" r:id="rId4"/>
    <sheet name="UA" sheetId="12" r:id="rId5"/>
    <sheet name="DHA" sheetId="13" r:id="rId6"/>
    <sheet name="BGA" sheetId="14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J4" i="2" s="1"/>
  <c r="B96" i="14" l="1"/>
  <c r="A96" i="14"/>
  <c r="B95" i="14"/>
  <c r="A95" i="14"/>
  <c r="B94" i="14"/>
  <c r="A94" i="14"/>
  <c r="B93" i="14"/>
  <c r="A93" i="14"/>
  <c r="B92" i="14"/>
  <c r="A92" i="14"/>
  <c r="B91" i="14"/>
  <c r="A91" i="14"/>
  <c r="B85" i="14"/>
  <c r="A85" i="14"/>
  <c r="B84" i="14"/>
  <c r="A84" i="14"/>
  <c r="B83" i="14"/>
  <c r="A83" i="14"/>
  <c r="B82" i="14"/>
  <c r="A82" i="14"/>
  <c r="K14" i="14"/>
  <c r="C13" i="14" s="1"/>
  <c r="K13" i="14"/>
  <c r="K13" i="13"/>
  <c r="C25" i="13" s="1"/>
  <c r="D25" i="13" s="1"/>
  <c r="E25" i="13" s="1"/>
  <c r="K12" i="13"/>
  <c r="C11" i="13"/>
  <c r="D11" i="13" s="1"/>
  <c r="E11" i="13" s="1"/>
  <c r="C9" i="13"/>
  <c r="D9" i="13" s="1"/>
  <c r="E9" i="13" s="1"/>
  <c r="K13" i="12"/>
  <c r="C25" i="12" s="1"/>
  <c r="K12" i="12"/>
  <c r="B93" i="7"/>
  <c r="A93" i="7"/>
  <c r="B92" i="7"/>
  <c r="A92" i="7"/>
  <c r="B91" i="7"/>
  <c r="A91" i="7"/>
  <c r="B90" i="7"/>
  <c r="A90" i="7"/>
  <c r="B89" i="7"/>
  <c r="A89" i="7"/>
  <c r="B88" i="7"/>
  <c r="A88" i="7"/>
  <c r="B82" i="7"/>
  <c r="A82" i="7"/>
  <c r="B81" i="7"/>
  <c r="A81" i="7"/>
  <c r="B80" i="7"/>
  <c r="A80" i="7"/>
  <c r="B79" i="7"/>
  <c r="A79" i="7"/>
  <c r="K11" i="7"/>
  <c r="C7" i="7" s="1"/>
  <c r="K10" i="7"/>
  <c r="C2" i="7" l="1"/>
  <c r="C11" i="12"/>
  <c r="D11" i="12" s="1"/>
  <c r="E11" i="12" s="1"/>
  <c r="C10" i="14"/>
  <c r="C12" i="14"/>
  <c r="D12" i="14" s="1"/>
  <c r="E12" i="14" s="1"/>
  <c r="D25" i="12"/>
  <c r="E25" i="12" s="1"/>
  <c r="C29" i="14"/>
  <c r="D29" i="14" s="1"/>
  <c r="E29" i="14" s="1"/>
  <c r="C24" i="14"/>
  <c r="D24" i="14" s="1"/>
  <c r="E24" i="14" s="1"/>
  <c r="C22" i="14"/>
  <c r="C4" i="12"/>
  <c r="C9" i="12"/>
  <c r="D9" i="12" s="1"/>
  <c r="E9" i="12" s="1"/>
  <c r="C5" i="14"/>
  <c r="D13" i="14" s="1"/>
  <c r="E13" i="14" s="1"/>
  <c r="C26" i="14"/>
  <c r="D26" i="14" s="1"/>
  <c r="E26" i="14" s="1"/>
  <c r="C16" i="14"/>
  <c r="D16" i="14" s="1"/>
  <c r="E16" i="14" s="1"/>
  <c r="C19" i="14"/>
  <c r="C21" i="14"/>
  <c r="C23" i="14"/>
  <c r="D23" i="14" s="1"/>
  <c r="E23" i="14" s="1"/>
  <c r="C7" i="14"/>
  <c r="D7" i="14" s="1"/>
  <c r="E7" i="14" s="1"/>
  <c r="C9" i="14"/>
  <c r="D9" i="14" s="1"/>
  <c r="E9" i="14" s="1"/>
  <c r="C11" i="14"/>
  <c r="D11" i="14" s="1"/>
  <c r="E11" i="14" s="1"/>
  <c r="C14" i="14"/>
  <c r="D14" i="14" s="1"/>
  <c r="E14" i="14" s="1"/>
  <c r="C15" i="14"/>
  <c r="D15" i="14" s="1"/>
  <c r="E15" i="14" s="1"/>
  <c r="C18" i="14"/>
  <c r="C20" i="14"/>
  <c r="C28" i="14"/>
  <c r="D28" i="14" s="1"/>
  <c r="E28" i="14" s="1"/>
  <c r="C30" i="14"/>
  <c r="D30" i="14" s="1"/>
  <c r="E30" i="14" s="1"/>
  <c r="C8" i="14"/>
  <c r="D8" i="14" s="1"/>
  <c r="E8" i="14" s="1"/>
  <c r="C25" i="14"/>
  <c r="D25" i="14" s="1"/>
  <c r="E25" i="14" s="1"/>
  <c r="C27" i="14"/>
  <c r="D27" i="14" s="1"/>
  <c r="E27" i="14" s="1"/>
  <c r="G9" i="13"/>
  <c r="C15" i="13"/>
  <c r="D15" i="13" s="1"/>
  <c r="E15" i="13" s="1"/>
  <c r="C18" i="13"/>
  <c r="D18" i="13" s="1"/>
  <c r="E18" i="13" s="1"/>
  <c r="C20" i="13"/>
  <c r="D20" i="13" s="1"/>
  <c r="E20" i="13" s="1"/>
  <c r="C22" i="13"/>
  <c r="D22" i="13" s="1"/>
  <c r="E22" i="13" s="1"/>
  <c r="C6" i="13"/>
  <c r="D6" i="13" s="1"/>
  <c r="E6" i="13" s="1"/>
  <c r="C8" i="13"/>
  <c r="D8" i="13" s="1"/>
  <c r="E8" i="13" s="1"/>
  <c r="C10" i="13"/>
  <c r="D10" i="13" s="1"/>
  <c r="E10" i="13" s="1"/>
  <c r="F9" i="13" s="1"/>
  <c r="C13" i="13"/>
  <c r="D13" i="13" s="1"/>
  <c r="E13" i="13" s="1"/>
  <c r="C14" i="13"/>
  <c r="D14" i="13" s="1"/>
  <c r="E14" i="13" s="1"/>
  <c r="C17" i="13"/>
  <c r="D17" i="13" s="1"/>
  <c r="E17" i="13" s="1"/>
  <c r="C19" i="13"/>
  <c r="D19" i="13" s="1"/>
  <c r="E19" i="13" s="1"/>
  <c r="C27" i="13"/>
  <c r="D27" i="13" s="1"/>
  <c r="E27" i="13" s="1"/>
  <c r="C29" i="13"/>
  <c r="D29" i="13" s="1"/>
  <c r="E29" i="13" s="1"/>
  <c r="C7" i="13"/>
  <c r="D7" i="13" s="1"/>
  <c r="E7" i="13" s="1"/>
  <c r="C24" i="13"/>
  <c r="D24" i="13" s="1"/>
  <c r="E24" i="13" s="1"/>
  <c r="C26" i="13"/>
  <c r="D26" i="13" s="1"/>
  <c r="E26" i="13" s="1"/>
  <c r="C28" i="13"/>
  <c r="D28" i="13" s="1"/>
  <c r="E28" i="13" s="1"/>
  <c r="C12" i="13"/>
  <c r="D12" i="13" s="1"/>
  <c r="E12" i="13" s="1"/>
  <c r="C21" i="13"/>
  <c r="D21" i="13" s="1"/>
  <c r="E21" i="13" s="1"/>
  <c r="C23" i="13"/>
  <c r="D23" i="13" s="1"/>
  <c r="E23" i="13" s="1"/>
  <c r="C15" i="12"/>
  <c r="C18" i="12"/>
  <c r="D18" i="12" s="1"/>
  <c r="E18" i="12" s="1"/>
  <c r="C20" i="12"/>
  <c r="D20" i="12" s="1"/>
  <c r="E20" i="12" s="1"/>
  <c r="C22" i="12"/>
  <c r="D22" i="12" s="1"/>
  <c r="E22" i="12" s="1"/>
  <c r="C6" i="12"/>
  <c r="D6" i="12" s="1"/>
  <c r="E6" i="12" s="1"/>
  <c r="C8" i="12"/>
  <c r="D8" i="12" s="1"/>
  <c r="E8" i="12" s="1"/>
  <c r="C10" i="12"/>
  <c r="D10" i="12" s="1"/>
  <c r="E10" i="12" s="1"/>
  <c r="C13" i="12"/>
  <c r="D13" i="12" s="1"/>
  <c r="E13" i="12" s="1"/>
  <c r="C14" i="12"/>
  <c r="D14" i="12" s="1"/>
  <c r="E14" i="12" s="1"/>
  <c r="C17" i="12"/>
  <c r="C19" i="12"/>
  <c r="D19" i="12" s="1"/>
  <c r="E19" i="12" s="1"/>
  <c r="C27" i="12"/>
  <c r="D27" i="12" s="1"/>
  <c r="E27" i="12" s="1"/>
  <c r="C29" i="12"/>
  <c r="D29" i="12" s="1"/>
  <c r="E29" i="12" s="1"/>
  <c r="C7" i="12"/>
  <c r="D7" i="12" s="1"/>
  <c r="E7" i="12" s="1"/>
  <c r="C24" i="12"/>
  <c r="D24" i="12" s="1"/>
  <c r="E24" i="12" s="1"/>
  <c r="C26" i="12"/>
  <c r="D26" i="12" s="1"/>
  <c r="E26" i="12" s="1"/>
  <c r="C28" i="12"/>
  <c r="D28" i="12" s="1"/>
  <c r="E28" i="12" s="1"/>
  <c r="C12" i="12"/>
  <c r="D12" i="12" s="1"/>
  <c r="E12" i="12" s="1"/>
  <c r="C21" i="12"/>
  <c r="D21" i="12" s="1"/>
  <c r="E21" i="12" s="1"/>
  <c r="C23" i="12"/>
  <c r="D23" i="12" s="1"/>
  <c r="E23" i="12" s="1"/>
  <c r="D7" i="7"/>
  <c r="E7" i="7" s="1"/>
  <c r="C16" i="7"/>
  <c r="D16" i="7" s="1"/>
  <c r="E16" i="7" s="1"/>
  <c r="C20" i="7"/>
  <c r="D20" i="7" s="1"/>
  <c r="E20" i="7" s="1"/>
  <c r="C23" i="7"/>
  <c r="D23" i="7" s="1"/>
  <c r="E23" i="7" s="1"/>
  <c r="C21" i="7"/>
  <c r="D21" i="7" s="1"/>
  <c r="E21" i="7" s="1"/>
  <c r="C19" i="7"/>
  <c r="D19" i="7" s="1"/>
  <c r="E19" i="7" s="1"/>
  <c r="C10" i="7"/>
  <c r="D10" i="7" s="1"/>
  <c r="E10" i="7" s="1"/>
  <c r="C26" i="7"/>
  <c r="D26" i="7" s="1"/>
  <c r="E26" i="7" s="1"/>
  <c r="C24" i="7"/>
  <c r="D24" i="7" s="1"/>
  <c r="E24" i="7" s="1"/>
  <c r="C22" i="7"/>
  <c r="D22" i="7" s="1"/>
  <c r="E22" i="7" s="1"/>
  <c r="C5" i="7"/>
  <c r="D5" i="7" s="1"/>
  <c r="E5" i="7" s="1"/>
  <c r="C27" i="7"/>
  <c r="D27" i="7" s="1"/>
  <c r="E27" i="7" s="1"/>
  <c r="C25" i="7"/>
  <c r="D25" i="7" s="1"/>
  <c r="E25" i="7" s="1"/>
  <c r="C17" i="7"/>
  <c r="D17" i="7" s="1"/>
  <c r="E17" i="7" s="1"/>
  <c r="C15" i="7"/>
  <c r="D15" i="7" s="1"/>
  <c r="E15" i="7" s="1"/>
  <c r="C12" i="7"/>
  <c r="D12" i="7" s="1"/>
  <c r="E12" i="7" s="1"/>
  <c r="C11" i="7"/>
  <c r="D11" i="7" s="1"/>
  <c r="E11" i="7" s="1"/>
  <c r="C8" i="7"/>
  <c r="D8" i="7" s="1"/>
  <c r="E8" i="7" s="1"/>
  <c r="C6" i="7"/>
  <c r="D6" i="7" s="1"/>
  <c r="E6" i="7" s="1"/>
  <c r="C4" i="7"/>
  <c r="D4" i="7" s="1"/>
  <c r="E4" i="7" s="1"/>
  <c r="C9" i="7"/>
  <c r="D9" i="7" s="1"/>
  <c r="E9" i="7" s="1"/>
  <c r="C13" i="7"/>
  <c r="D13" i="7" s="1"/>
  <c r="E13" i="7" s="1"/>
  <c r="C18" i="7"/>
  <c r="D18" i="7" s="1"/>
  <c r="E18" i="7" s="1"/>
  <c r="D15" i="12" l="1"/>
  <c r="E15" i="12" s="1"/>
  <c r="D10" i="14"/>
  <c r="E10" i="14" s="1"/>
  <c r="G9" i="12"/>
  <c r="D20" i="14"/>
  <c r="E20" i="14" s="1"/>
  <c r="D21" i="14"/>
  <c r="E21" i="14" s="1"/>
  <c r="F13" i="14"/>
  <c r="A68" i="14" s="1"/>
  <c r="D17" i="12"/>
  <c r="E17" i="12" s="1"/>
  <c r="D18" i="14"/>
  <c r="E18" i="14" s="1"/>
  <c r="D19" i="14"/>
  <c r="E19" i="14" s="1"/>
  <c r="D22" i="14"/>
  <c r="E22" i="14" s="1"/>
  <c r="G28" i="14"/>
  <c r="B81" i="14" s="1"/>
  <c r="F28" i="14"/>
  <c r="A81" i="14" s="1"/>
  <c r="G13" i="14"/>
  <c r="B68" i="14" s="1"/>
  <c r="G7" i="14"/>
  <c r="B66" i="14" s="1"/>
  <c r="F7" i="14"/>
  <c r="A66" i="14" s="1"/>
  <c r="G25" i="14"/>
  <c r="B71" i="14" s="1"/>
  <c r="F25" i="14"/>
  <c r="A71" i="14" s="1"/>
  <c r="G12" i="13"/>
  <c r="F12" i="13"/>
  <c r="F18" i="13"/>
  <c r="G18" i="13"/>
  <c r="G6" i="13"/>
  <c r="F6" i="13"/>
  <c r="F15" i="13"/>
  <c r="G15" i="13"/>
  <c r="G27" i="13"/>
  <c r="F27" i="13"/>
  <c r="G21" i="13"/>
  <c r="F21" i="13"/>
  <c r="G24" i="13"/>
  <c r="F24" i="13"/>
  <c r="G21" i="12"/>
  <c r="F21" i="12"/>
  <c r="G24" i="12"/>
  <c r="F24" i="12"/>
  <c r="F9" i="12"/>
  <c r="G12" i="12"/>
  <c r="F12" i="12"/>
  <c r="F18" i="12"/>
  <c r="G18" i="12"/>
  <c r="G6" i="12"/>
  <c r="F6" i="12"/>
  <c r="F15" i="12"/>
  <c r="G15" i="12"/>
  <c r="G27" i="12"/>
  <c r="F27" i="12"/>
  <c r="G4" i="7"/>
  <c r="B63" i="7" s="1"/>
  <c r="F4" i="7"/>
  <c r="A63" i="7" s="1"/>
  <c r="G10" i="7"/>
  <c r="B65" i="7" s="1"/>
  <c r="F10" i="7"/>
  <c r="A65" i="7" s="1"/>
  <c r="F13" i="7"/>
  <c r="A77" i="7" s="1"/>
  <c r="G13" i="7"/>
  <c r="B77" i="7" s="1"/>
  <c r="G22" i="7"/>
  <c r="B68" i="7" s="1"/>
  <c r="F22" i="7"/>
  <c r="A68" i="7" s="1"/>
  <c r="G19" i="7"/>
  <c r="B67" i="7" s="1"/>
  <c r="F19" i="7"/>
  <c r="A67" i="7" s="1"/>
  <c r="F16" i="7"/>
  <c r="A66" i="7" s="1"/>
  <c r="G16" i="7"/>
  <c r="B66" i="7" s="1"/>
  <c r="G25" i="7"/>
  <c r="B78" i="7" s="1"/>
  <c r="F25" i="7"/>
  <c r="A78" i="7" s="1"/>
  <c r="F7" i="7"/>
  <c r="A64" i="7" s="1"/>
  <c r="G7" i="7"/>
  <c r="B64" i="7" s="1"/>
  <c r="F22" i="14" l="1"/>
  <c r="A70" i="14" s="1"/>
  <c r="G19" i="14"/>
  <c r="B69" i="14" s="1"/>
  <c r="G10" i="14"/>
  <c r="B67" i="14" s="1"/>
  <c r="F10" i="14"/>
  <c r="A67" i="14" s="1"/>
  <c r="G22" i="14"/>
  <c r="B70" i="14" s="1"/>
  <c r="F16" i="14"/>
  <c r="A80" i="14" s="1"/>
  <c r="F19" i="14"/>
  <c r="A69" i="14" s="1"/>
  <c r="G16" i="14"/>
  <c r="B80" i="14" s="1"/>
  <c r="G27" i="2" l="1"/>
  <c r="G26" i="2"/>
  <c r="G25" i="2"/>
  <c r="G24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K27" i="8" l="1"/>
  <c r="N27" i="8" s="1"/>
  <c r="D27" i="8"/>
  <c r="G27" i="8" s="1"/>
  <c r="K26" i="8"/>
  <c r="N26" i="8" s="1"/>
  <c r="D26" i="8"/>
  <c r="G26" i="8" s="1"/>
  <c r="K25" i="8"/>
  <c r="N25" i="8" s="1"/>
  <c r="D25" i="8"/>
  <c r="G25" i="8" s="1"/>
  <c r="K24" i="8"/>
  <c r="N24" i="8" s="1"/>
  <c r="D24" i="8"/>
  <c r="G24" i="8" s="1"/>
  <c r="K22" i="8"/>
  <c r="N22" i="8" s="1"/>
  <c r="D22" i="8"/>
  <c r="G22" i="8" s="1"/>
  <c r="K21" i="8"/>
  <c r="N21" i="8" s="1"/>
  <c r="D21" i="8"/>
  <c r="G21" i="8" s="1"/>
  <c r="K20" i="8"/>
  <c r="N20" i="8" s="1"/>
  <c r="D20" i="8"/>
  <c r="G20" i="8" s="1"/>
  <c r="K19" i="8"/>
  <c r="N19" i="8" s="1"/>
  <c r="D19" i="8"/>
  <c r="G19" i="8" s="1"/>
  <c r="K18" i="8"/>
  <c r="N18" i="8" s="1"/>
  <c r="D18" i="8"/>
  <c r="G18" i="8" s="1"/>
  <c r="K17" i="8"/>
  <c r="N17" i="8" s="1"/>
  <c r="D17" i="8"/>
  <c r="G17" i="8" s="1"/>
  <c r="K16" i="8"/>
  <c r="N16" i="8" s="1"/>
  <c r="D16" i="8"/>
  <c r="G16" i="8" s="1"/>
  <c r="K15" i="8"/>
  <c r="N15" i="8" s="1"/>
  <c r="D15" i="8"/>
  <c r="G15" i="8" s="1"/>
  <c r="K14" i="8"/>
  <c r="N14" i="8" s="1"/>
  <c r="D14" i="8"/>
  <c r="G14" i="8" s="1"/>
  <c r="K13" i="8"/>
  <c r="N13" i="8" s="1"/>
  <c r="D13" i="8"/>
  <c r="G13" i="8" s="1"/>
  <c r="K12" i="8"/>
  <c r="N12" i="8" s="1"/>
  <c r="D12" i="8"/>
  <c r="G12" i="8" s="1"/>
  <c r="K11" i="8"/>
  <c r="N11" i="8" s="1"/>
  <c r="D11" i="8"/>
  <c r="G11" i="8" s="1"/>
  <c r="K10" i="8"/>
  <c r="N10" i="8" s="1"/>
  <c r="D10" i="8"/>
  <c r="G10" i="8" s="1"/>
  <c r="K9" i="8"/>
  <c r="N9" i="8" s="1"/>
  <c r="D9" i="8"/>
  <c r="G9" i="8" s="1"/>
  <c r="K8" i="8"/>
  <c r="N8" i="8" s="1"/>
  <c r="D8" i="8"/>
  <c r="G8" i="8" s="1"/>
  <c r="K7" i="8"/>
  <c r="N7" i="8" s="1"/>
  <c r="D7" i="8"/>
  <c r="G7" i="8" s="1"/>
  <c r="K6" i="8"/>
  <c r="N6" i="8" s="1"/>
  <c r="D6" i="8"/>
  <c r="G6" i="8" s="1"/>
  <c r="K5" i="8"/>
  <c r="D5" i="8"/>
  <c r="G5" i="8" s="1"/>
  <c r="K4" i="8"/>
  <c r="N4" i="8" s="1"/>
  <c r="O4" i="8" s="1"/>
  <c r="D4" i="8"/>
  <c r="G4" i="8" s="1"/>
  <c r="I19" i="8" l="1"/>
  <c r="H19" i="8"/>
  <c r="H16" i="8"/>
  <c r="I16" i="8"/>
  <c r="N5" i="8"/>
  <c r="O5" i="8" s="1"/>
  <c r="I25" i="8"/>
  <c r="H25" i="8"/>
  <c r="H13" i="8"/>
  <c r="I13" i="8"/>
  <c r="H7" i="8"/>
  <c r="I7" i="8"/>
  <c r="H22" i="8"/>
  <c r="I22" i="8"/>
  <c r="H10" i="8"/>
  <c r="I10" i="8"/>
  <c r="O17" i="8"/>
  <c r="O10" i="8"/>
  <c r="O26" i="8"/>
  <c r="I4" i="8"/>
  <c r="H4" i="8"/>
  <c r="O9" i="8"/>
  <c r="O6" i="8"/>
  <c r="O18" i="8"/>
  <c r="O20" i="8"/>
  <c r="O22" i="8"/>
  <c r="O15" i="8"/>
  <c r="O25" i="8"/>
  <c r="O12" i="8"/>
  <c r="O21" i="8"/>
  <c r="O19" i="8"/>
  <c r="O8" i="8"/>
  <c r="O13" i="8"/>
  <c r="O7" i="8"/>
  <c r="O14" i="8"/>
  <c r="O11" i="8"/>
  <c r="O16" i="8"/>
  <c r="O24" i="8"/>
  <c r="O27" i="8"/>
  <c r="R4" i="8" l="1"/>
  <c r="Q4" i="8"/>
  <c r="R22" i="8"/>
  <c r="Q22" i="8"/>
  <c r="Q16" i="8"/>
  <c r="R16" i="8"/>
  <c r="R25" i="8"/>
  <c r="Q25" i="8"/>
  <c r="R7" i="8"/>
  <c r="Q7" i="8"/>
  <c r="R13" i="8"/>
  <c r="Q13" i="8"/>
  <c r="Q10" i="8"/>
  <c r="R10" i="8"/>
  <c r="R19" i="8"/>
  <c r="Q19" i="8"/>
  <c r="U25" i="8"/>
  <c r="U16" i="8"/>
  <c r="U4" i="8"/>
  <c r="U13" i="8"/>
  <c r="U7" i="8"/>
  <c r="U19" i="8"/>
  <c r="U22" i="8"/>
  <c r="U10" i="8"/>
  <c r="I8" i="4" l="1"/>
  <c r="I16" i="4"/>
  <c r="I20" i="4"/>
  <c r="G24" i="4"/>
  <c r="I24" i="4" s="1"/>
  <c r="G25" i="4"/>
  <c r="I25" i="4" s="1"/>
  <c r="G26" i="4"/>
  <c r="I26" i="4" s="1"/>
  <c r="G27" i="4"/>
  <c r="I27" i="4" s="1"/>
  <c r="G6" i="4"/>
  <c r="I6" i="4" s="1"/>
  <c r="G7" i="4"/>
  <c r="I7" i="4" s="1"/>
  <c r="G8" i="4"/>
  <c r="H8" i="4" s="1"/>
  <c r="G9" i="4"/>
  <c r="I9" i="4" s="1"/>
  <c r="G10" i="4"/>
  <c r="I10" i="4" s="1"/>
  <c r="G11" i="4"/>
  <c r="I11" i="4" s="1"/>
  <c r="G12" i="4"/>
  <c r="I12" i="4" s="1"/>
  <c r="G13" i="4"/>
  <c r="I13" i="4" s="1"/>
  <c r="G14" i="4"/>
  <c r="I14" i="4" s="1"/>
  <c r="G15" i="4"/>
  <c r="I15" i="4" s="1"/>
  <c r="G16" i="4"/>
  <c r="H16" i="4" s="1"/>
  <c r="G17" i="4"/>
  <c r="I17" i="4" s="1"/>
  <c r="G18" i="4"/>
  <c r="I18" i="4" s="1"/>
  <c r="G19" i="4"/>
  <c r="I19" i="4" s="1"/>
  <c r="G20" i="4"/>
  <c r="H20" i="4" s="1"/>
  <c r="G21" i="4"/>
  <c r="I21" i="4" s="1"/>
  <c r="G22" i="4"/>
  <c r="I22" i="4" s="1"/>
  <c r="F10" i="4"/>
  <c r="F12" i="4"/>
  <c r="F14" i="4"/>
  <c r="F18" i="4"/>
  <c r="F27" i="4"/>
  <c r="E6" i="4"/>
  <c r="F6" i="4" s="1"/>
  <c r="E7" i="4"/>
  <c r="F7" i="4" s="1"/>
  <c r="E8" i="4"/>
  <c r="F8" i="4" s="1"/>
  <c r="E9" i="4"/>
  <c r="F9" i="4" s="1"/>
  <c r="E10" i="4"/>
  <c r="E11" i="4"/>
  <c r="F11" i="4" s="1"/>
  <c r="E12" i="4"/>
  <c r="E13" i="4"/>
  <c r="F13" i="4" s="1"/>
  <c r="E14" i="4"/>
  <c r="E15" i="4"/>
  <c r="F15" i="4" s="1"/>
  <c r="E16" i="4"/>
  <c r="F16" i="4" s="1"/>
  <c r="E17" i="4"/>
  <c r="F17" i="4" s="1"/>
  <c r="E18" i="4"/>
  <c r="E19" i="4"/>
  <c r="F19" i="4" s="1"/>
  <c r="E20" i="4"/>
  <c r="F20" i="4" s="1"/>
  <c r="E21" i="4"/>
  <c r="F21" i="4" s="1"/>
  <c r="E22" i="4"/>
  <c r="F22" i="4" s="1"/>
  <c r="E24" i="4"/>
  <c r="F24" i="4" s="1"/>
  <c r="E25" i="4"/>
  <c r="F25" i="4" s="1"/>
  <c r="E26" i="4"/>
  <c r="F26" i="4" s="1"/>
  <c r="E27" i="4"/>
  <c r="G5" i="4"/>
  <c r="H5" i="4" s="1"/>
  <c r="E5" i="4"/>
  <c r="F5" i="4" s="1"/>
  <c r="G4" i="4"/>
  <c r="H4" i="4" s="1"/>
  <c r="E4" i="4"/>
  <c r="F4" i="4" s="1"/>
  <c r="H12" i="4" l="1"/>
  <c r="H24" i="4"/>
  <c r="H19" i="4"/>
  <c r="H15" i="4"/>
  <c r="H11" i="4"/>
  <c r="H7" i="4"/>
  <c r="J4" i="4"/>
  <c r="H25" i="4"/>
  <c r="J5" i="4"/>
  <c r="H27" i="4"/>
  <c r="H22" i="4"/>
  <c r="H18" i="4"/>
  <c r="H14" i="4"/>
  <c r="H10" i="4"/>
  <c r="H6" i="4"/>
  <c r="J20" i="4"/>
  <c r="J16" i="4"/>
  <c r="J12" i="4"/>
  <c r="J8" i="4"/>
  <c r="H26" i="4"/>
  <c r="H21" i="4"/>
  <c r="H17" i="4"/>
  <c r="H13" i="4"/>
  <c r="H9" i="4"/>
  <c r="I5" i="4"/>
  <c r="I4" i="4"/>
  <c r="J9" i="4" l="1"/>
  <c r="J26" i="4"/>
  <c r="J18" i="4"/>
  <c r="J11" i="4"/>
  <c r="J17" i="4"/>
  <c r="J6" i="4"/>
  <c r="J22" i="4"/>
  <c r="J25" i="4"/>
  <c r="J15" i="4"/>
  <c r="J14" i="4"/>
  <c r="J13" i="4"/>
  <c r="J21" i="4"/>
  <c r="J10" i="4"/>
  <c r="J27" i="4"/>
  <c r="J19" i="4"/>
  <c r="J7" i="4"/>
  <c r="J24" i="4"/>
  <c r="J26" i="2" l="1"/>
  <c r="K26" i="2" s="1"/>
  <c r="L26" i="2" s="1"/>
  <c r="J24" i="2"/>
  <c r="K24" i="2" s="1"/>
  <c r="J14" i="2"/>
  <c r="K14" i="2" s="1"/>
  <c r="L14" i="2" s="1"/>
  <c r="J12" i="2"/>
  <c r="K12" i="2" s="1"/>
  <c r="L12" i="2" s="1"/>
  <c r="J9" i="2"/>
  <c r="K9" i="2" s="1"/>
  <c r="L9" i="2" s="1"/>
  <c r="K4" i="2"/>
  <c r="L4" i="2" s="1"/>
  <c r="J27" i="2"/>
  <c r="K27" i="2" s="1"/>
  <c r="L27" i="2" s="1"/>
  <c r="J20" i="2"/>
  <c r="K20" i="2" s="1"/>
  <c r="L20" i="2" s="1"/>
  <c r="J18" i="2"/>
  <c r="K18" i="2" s="1"/>
  <c r="L18" i="2" s="1"/>
  <c r="J15" i="2"/>
  <c r="K15" i="2" s="1"/>
  <c r="L15" i="2" s="1"/>
  <c r="J10" i="2"/>
  <c r="K10" i="2" s="1"/>
  <c r="L10" i="2" s="1"/>
  <c r="J7" i="2"/>
  <c r="K7" i="2" s="1"/>
  <c r="L7" i="2" s="1"/>
  <c r="J5" i="2"/>
  <c r="K5" i="2" s="1"/>
  <c r="L5" i="2" s="1"/>
  <c r="J25" i="2"/>
  <c r="K25" i="2" s="1"/>
  <c r="L25" i="2" s="1"/>
  <c r="J21" i="2"/>
  <c r="K21" i="2" s="1"/>
  <c r="L21" i="2" s="1"/>
  <c r="J16" i="2"/>
  <c r="K16" i="2" s="1"/>
  <c r="L16" i="2" s="1"/>
  <c r="J13" i="2"/>
  <c r="K13" i="2" s="1"/>
  <c r="L13" i="2" s="1"/>
  <c r="J11" i="2"/>
  <c r="K11" i="2" s="1"/>
  <c r="L11" i="2" s="1"/>
  <c r="J22" i="2"/>
  <c r="K22" i="2" s="1"/>
  <c r="J19" i="2"/>
  <c r="K19" i="2" s="1"/>
  <c r="L19" i="2" s="1"/>
  <c r="J17" i="2"/>
  <c r="K17" i="2" s="1"/>
  <c r="J8" i="2"/>
  <c r="K8" i="2" s="1"/>
  <c r="L8" i="2" s="1"/>
  <c r="J6" i="2"/>
  <c r="K6" i="2" s="1"/>
  <c r="L6" i="2" s="1"/>
  <c r="L17" i="2" l="1"/>
  <c r="P16" i="2" s="1"/>
  <c r="L22" i="2"/>
  <c r="P4" i="2"/>
  <c r="L24" i="2"/>
  <c r="N22" i="2" s="1"/>
  <c r="N25" i="2"/>
  <c r="P25" i="2"/>
  <c r="N4" i="2"/>
  <c r="N13" i="2"/>
  <c r="P13" i="2"/>
  <c r="N19" i="2"/>
  <c r="P19" i="2"/>
  <c r="N16" i="2"/>
  <c r="P7" i="2"/>
  <c r="N7" i="2"/>
  <c r="P10" i="2"/>
  <c r="N10" i="2"/>
  <c r="P22" i="2" l="1"/>
</calcChain>
</file>

<file path=xl/sharedStrings.xml><?xml version="1.0" encoding="utf-8"?>
<sst xmlns="http://schemas.openxmlformats.org/spreadsheetml/2006/main" count="310" uniqueCount="78">
  <si>
    <t>Sample ID</t>
  </si>
  <si>
    <t>MEANFerrous ammonium sulphate for blank (mL)</t>
  </si>
  <si>
    <t>Ferrous ammonium sulphate for sample (mL)</t>
  </si>
  <si>
    <t>Total volume (mL)</t>
  </si>
  <si>
    <t>Volume of sample for analysis (mL)</t>
  </si>
  <si>
    <t>WEOC (mg/mL)</t>
  </si>
  <si>
    <t>WEOC (mg/L)</t>
  </si>
  <si>
    <t>control</t>
  </si>
  <si>
    <t>Control</t>
  </si>
  <si>
    <t>N</t>
  </si>
  <si>
    <t>P</t>
  </si>
  <si>
    <t>L</t>
  </si>
  <si>
    <t>NL</t>
  </si>
  <si>
    <t>PL</t>
  </si>
  <si>
    <t>NP</t>
  </si>
  <si>
    <t>NPL</t>
  </si>
  <si>
    <t>WEOC (mg C/kg soil)</t>
  </si>
  <si>
    <t>mean WEOC</t>
  </si>
  <si>
    <t>blank</t>
  </si>
  <si>
    <t xml:space="preserve"> extractable organic carbon (WEOC) </t>
  </si>
  <si>
    <t>MOIST SOIL</t>
  </si>
  <si>
    <t>DRY SOIL</t>
  </si>
  <si>
    <t>moisture</t>
  </si>
  <si>
    <t>SOIL MOISTURE PERCENTAGE</t>
  </si>
  <si>
    <t>gravitational avg</t>
  </si>
  <si>
    <t>dry soil in 1 gm soil</t>
  </si>
  <si>
    <t>dry in 10 gm (NO3)</t>
  </si>
  <si>
    <t>dry soil in 5 gm</t>
  </si>
  <si>
    <t>Moisture Phosphate Exp</t>
  </si>
  <si>
    <t>Blank</t>
  </si>
  <si>
    <t>MBC</t>
  </si>
  <si>
    <t>Sr #</t>
  </si>
  <si>
    <t xml:space="preserve">Sample </t>
  </si>
  <si>
    <t>Fe(NH4)SO4 (blanks-sample)</t>
  </si>
  <si>
    <t>Fresh soil</t>
  </si>
  <si>
    <t>Dry soil/5gm</t>
  </si>
  <si>
    <t>C-fum (mg/kg soil)</t>
  </si>
  <si>
    <t>MBC mg/kg soil (=(Fum C- Non Fum C)KE</t>
  </si>
  <si>
    <t>Avg MBC</t>
  </si>
  <si>
    <t>Blanks NF</t>
  </si>
  <si>
    <t>Wt of moist soil sample (g)</t>
  </si>
  <si>
    <t>Moisture content (%)</t>
  </si>
  <si>
    <t>Wt of soil on oven dry basis (g)</t>
  </si>
  <si>
    <t>S.E</t>
  </si>
  <si>
    <t>Treatments</t>
  </si>
  <si>
    <t>Treatment</t>
  </si>
  <si>
    <t>Avg DOC</t>
  </si>
  <si>
    <t>SE</t>
  </si>
  <si>
    <t>Sample</t>
  </si>
  <si>
    <t>Absorption              @ 400nm</t>
  </si>
  <si>
    <r>
      <t>Conc. Of p-Nitrophenol from Std. curve (</t>
    </r>
    <r>
      <rPr>
        <b/>
        <sz val="12"/>
        <rFont val="Calibri"/>
        <family val="2"/>
      </rPr>
      <t>µ</t>
    </r>
    <r>
      <rPr>
        <b/>
        <sz val="12"/>
        <rFont val="Calibri"/>
        <family val="2"/>
        <scheme val="minor"/>
      </rPr>
      <t>g)</t>
    </r>
  </si>
  <si>
    <r>
      <t>Conc. p-Nitrophenol after Subtracting Blank (</t>
    </r>
    <r>
      <rPr>
        <b/>
        <sz val="12"/>
        <rFont val="Calibri"/>
        <family val="2"/>
      </rPr>
      <t>µ</t>
    </r>
    <r>
      <rPr>
        <b/>
        <sz val="12"/>
        <rFont val="Calibri"/>
        <family val="2"/>
        <scheme val="minor"/>
      </rPr>
      <t xml:space="preserve">g) </t>
    </r>
  </si>
  <si>
    <r>
      <t>PNP  (</t>
    </r>
    <r>
      <rPr>
        <b/>
        <sz val="12"/>
        <rFont val="Calibri"/>
        <family val="2"/>
      </rPr>
      <t xml:space="preserve">µg/g Soil/ hr ) </t>
    </r>
  </si>
  <si>
    <t>Average</t>
  </si>
  <si>
    <r>
      <t>Working Standard Solution Conc.                             (</t>
    </r>
    <r>
      <rPr>
        <b/>
        <sz val="12"/>
        <rFont val="Calibri"/>
        <family val="2"/>
      </rPr>
      <t>µ</t>
    </r>
    <r>
      <rPr>
        <b/>
        <sz val="12"/>
        <rFont val="Calibri"/>
        <family val="2"/>
        <scheme val="minor"/>
      </rPr>
      <t>g of p-Nitrophenol)</t>
    </r>
  </si>
  <si>
    <t>Absorption         @ 400nm</t>
  </si>
  <si>
    <t>-</t>
  </si>
  <si>
    <t>treatment</t>
  </si>
  <si>
    <t>APA activity</t>
  </si>
  <si>
    <t>Slope</t>
  </si>
  <si>
    <t>Intercept</t>
  </si>
  <si>
    <t>Standard Curve Data</t>
  </si>
  <si>
    <t>Absorption              @ 527nm</t>
  </si>
  <si>
    <t>Conc. Of p-Nitrophenol from Std. curve (µg of urea- N hydrolyzed g-1. h-1)</t>
  </si>
  <si>
    <t xml:space="preserve">Conc. µg of urea -N hydrolyzed g-1. h-1)after Subtracting Blank (µg) </t>
  </si>
  <si>
    <t>µg of urea- N hydrolyzed g-1. h-1)</t>
  </si>
  <si>
    <r>
      <t>Working Standard Solution Conc.                             (µg of urea -N hydrolyzed g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. h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</si>
  <si>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Absorption         @ 410nm</t>
  </si>
  <si>
    <t>UA activity</t>
  </si>
  <si>
    <t xml:space="preserve">Absorption              </t>
  </si>
  <si>
    <t xml:space="preserve">Conc.                             ( TPF g-1. h-1) from Std. curve </t>
  </si>
  <si>
    <t>Blank -sample</t>
  </si>
  <si>
    <r>
      <t>Working Standard Solution Conc.                             ( TPF g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. h</t>
    </r>
    <r>
      <rPr>
        <b/>
        <vertAlign val="superscript"/>
        <sz val="11"/>
        <color theme="1"/>
        <rFont val="Calibri"/>
        <family val="2"/>
        <scheme val="minor"/>
      </rPr>
      <t>-1</t>
    </r>
    <r>
      <rPr>
        <b/>
        <sz val="11"/>
        <color theme="1"/>
        <rFont val="Calibri"/>
        <family val="2"/>
        <scheme val="minor"/>
      </rPr>
      <t>)</t>
    </r>
  </si>
  <si>
    <t>DHA activity</t>
  </si>
  <si>
    <t>BGA activity</t>
  </si>
  <si>
    <t>DOC</t>
  </si>
  <si>
    <t>Non Fum C</t>
  </si>
  <si>
    <t>Dry soil in 5g fresh 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</si>
</sst>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"/>
    <numFmt numFmtId="166" formatCode="0.0000"/>
    <numFmt numFmtId="167" formatCode="0.000"/>
    <numFmt numFmtId="168" formatCode="0.0"/>
    <numFmt numFmtId="169" formatCode="_(* #,##0.000_);_(* \(#,##0.000\);_(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color theme="9" tint="-0.499984740745262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9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0" borderId="0" xfId="1" applyNumberFormat="1" applyFont="1"/>
    <xf numFmtId="0" fontId="4" fillId="3" borderId="0" xfId="0" applyFont="1" applyFill="1"/>
    <xf numFmtId="0" fontId="1" fillId="0" borderId="0" xfId="0" applyFont="1" applyAlignment="1">
      <alignment horizontal="center" vertical="center" wrapText="1"/>
    </xf>
    <xf numFmtId="0" fontId="1" fillId="4" borderId="0" xfId="0" applyFont="1" applyFill="1"/>
    <xf numFmtId="0" fontId="4" fillId="0" borderId="0" xfId="0" applyFont="1"/>
    <xf numFmtId="0" fontId="1" fillId="5" borderId="0" xfId="0" applyFont="1" applyFill="1"/>
    <xf numFmtId="0" fontId="1" fillId="6" borderId="0" xfId="0" applyFont="1" applyFill="1"/>
    <xf numFmtId="0" fontId="3" fillId="0" borderId="0" xfId="0" applyFont="1" applyAlignment="1">
      <alignment vertic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168" fontId="0" fillId="6" borderId="0" xfId="0" applyNumberFormat="1" applyFill="1"/>
    <xf numFmtId="168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169" fontId="5" fillId="0" borderId="1" xfId="2" applyNumberFormat="1" applyFont="1" applyBorder="1" applyAlignment="1">
      <alignment horizontal="center"/>
    </xf>
    <xf numFmtId="2" fontId="12" fillId="0" borderId="1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165" fontId="11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66" fontId="10" fillId="0" borderId="5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6" xfId="0" applyFont="1" applyBorder="1" applyAlignment="1">
      <alignment horizontal="left"/>
    </xf>
    <xf numFmtId="0" fontId="19" fillId="0" borderId="0" xfId="0" applyFont="1" applyAlignment="1">
      <alignment horizontal="left"/>
    </xf>
    <xf numFmtId="0" fontId="3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06071024747637"/>
          <c:y val="5.7360454943132119E-2"/>
          <c:w val="0.72837948381452333"/>
          <c:h val="0.7719350571006086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1889261550349734"/>
                  <c:y val="6.26053748422835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PK"/>
                </a:p>
              </c:txPr>
            </c:trendlineLbl>
          </c:trendline>
          <c:xVal>
            <c:numRef>
              <c:f>[1]APA!$J$2:$J$8</c:f>
              <c:numCache>
                <c:formatCode>General</c:formatCode>
                <c:ptCount val="7"/>
                <c:pt idx="0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</c:numCache>
            </c:numRef>
          </c:xVal>
          <c:yVal>
            <c:numRef>
              <c:f>[1]APA!$K$2:$K$8</c:f>
              <c:numCache>
                <c:formatCode>General</c:formatCode>
                <c:ptCount val="7"/>
                <c:pt idx="0">
                  <c:v>0.123</c:v>
                </c:pt>
                <c:pt idx="2">
                  <c:v>0.376</c:v>
                </c:pt>
                <c:pt idx="3">
                  <c:v>0.56333333333333335</c:v>
                </c:pt>
                <c:pt idx="4">
                  <c:v>0.81066666666666665</c:v>
                </c:pt>
                <c:pt idx="5">
                  <c:v>0.95299999999999996</c:v>
                </c:pt>
                <c:pt idx="6">
                  <c:v>1.702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33A-47F7-BF8E-71713D22F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5155928"/>
        <c:axId val="315156320"/>
      </c:scatterChart>
      <c:valAx>
        <c:axId val="315155928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crossAx val="315156320"/>
        <c:crosses val="autoZero"/>
        <c:crossBetween val="midCat"/>
      </c:valAx>
      <c:valAx>
        <c:axId val="31515632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Absorption</a:t>
                </a:r>
                <a:endParaRPr lang="en-US" sz="11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u="none" strike="noStrike" baseline="0">
                    <a:effectLst/>
                  </a:rPr>
                  <a:t> 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3.2439921617984896E-2"/>
              <c:y val="0.31625459317585319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crossAx val="315155928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[1]APA!$B$88:$B$93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[1]APA!$B$88:$B$93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</c:errBars>
          <c:val>
            <c:numRef>
              <c:f>[1]APA!$A$88:$A$93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APA!#REF!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6051-445F-9F9B-D1C97444A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0997304"/>
        <c:axId val="310997696"/>
      </c:barChart>
      <c:catAx>
        <c:axId val="310997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Chromium Concentration mg/Kg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10997696"/>
        <c:crosses val="autoZero"/>
        <c:auto val="1"/>
        <c:lblAlgn val="ctr"/>
        <c:lblOffset val="100"/>
        <c:noMultiLvlLbl val="0"/>
      </c:catAx>
      <c:valAx>
        <c:axId val="310997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PNP  (µg/kg Soil/ hr 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0997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[1]APA!$B$63:$B$68</c:f>
                <c:numCache>
                  <c:formatCode>General</c:formatCode>
                  <c:ptCount val="6"/>
                  <c:pt idx="0">
                    <c:v>0.22983941266438843</c:v>
                  </c:pt>
                  <c:pt idx="1">
                    <c:v>4.6944447891776764E-2</c:v>
                  </c:pt>
                  <c:pt idx="2">
                    <c:v>9.3290891732834974E-2</c:v>
                  </c:pt>
                  <c:pt idx="3">
                    <c:v>2.5232942590922274E-2</c:v>
                  </c:pt>
                  <c:pt idx="4">
                    <c:v>0.16382964685662302</c:v>
                  </c:pt>
                  <c:pt idx="5">
                    <c:v>4.2758154334327308E-2</c:v>
                  </c:pt>
                </c:numCache>
              </c:numRef>
            </c:plus>
            <c:minus>
              <c:numRef>
                <c:f>[1]APA!$B$63:$B$68</c:f>
                <c:numCache>
                  <c:formatCode>General</c:formatCode>
                  <c:ptCount val="6"/>
                  <c:pt idx="0">
                    <c:v>0.22983941266438843</c:v>
                  </c:pt>
                  <c:pt idx="1">
                    <c:v>4.6944447891776764E-2</c:v>
                  </c:pt>
                  <c:pt idx="2">
                    <c:v>9.3290891732834974E-2</c:v>
                  </c:pt>
                  <c:pt idx="3">
                    <c:v>2.5232942590922274E-2</c:v>
                  </c:pt>
                  <c:pt idx="4">
                    <c:v>0.16382964685662302</c:v>
                  </c:pt>
                  <c:pt idx="5">
                    <c:v>4.2758154334327308E-2</c:v>
                  </c:pt>
                </c:numCache>
              </c:numRef>
            </c:minus>
          </c:errBars>
          <c:val>
            <c:numRef>
              <c:f>[1]APA!$A$63:$A$68</c:f>
              <c:numCache>
                <c:formatCode>General</c:formatCode>
                <c:ptCount val="6"/>
                <c:pt idx="0">
                  <c:v>5.9560715359182437</c:v>
                </c:pt>
                <c:pt idx="1">
                  <c:v>8.0185903216110592</c:v>
                </c:pt>
                <c:pt idx="2">
                  <c:v>4.7086865043582797</c:v>
                </c:pt>
                <c:pt idx="3">
                  <c:v>9.043267207694619</c:v>
                </c:pt>
                <c:pt idx="4">
                  <c:v>7.4930868650435825</c:v>
                </c:pt>
                <c:pt idx="5">
                  <c:v>4.8589870754433413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APA!#REF!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DD8-48F3-90AB-C3F1BD114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157104"/>
        <c:axId val="315157496"/>
      </c:barChart>
      <c:catAx>
        <c:axId val="315157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15157496"/>
        <c:crosses val="autoZero"/>
        <c:auto val="1"/>
        <c:lblAlgn val="ctr"/>
        <c:lblOffset val="100"/>
        <c:noMultiLvlLbl val="0"/>
      </c:catAx>
      <c:valAx>
        <c:axId val="315157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PNP  (µg/kg Soil/ hr 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5157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[1]APA!$B$77:$B$82</c:f>
                <c:numCache>
                  <c:formatCode>General</c:formatCode>
                  <c:ptCount val="6"/>
                  <c:pt idx="0">
                    <c:v>1.6456266907123318E-2</c:v>
                  </c:pt>
                  <c:pt idx="1">
                    <c:v>6.2793112446742086E-2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[1]APA!$B$77:$B$82</c:f>
                <c:numCache>
                  <c:formatCode>General</c:formatCode>
                  <c:ptCount val="6"/>
                  <c:pt idx="0">
                    <c:v>1.6456266907123318E-2</c:v>
                  </c:pt>
                  <c:pt idx="1">
                    <c:v>6.2793112446742086E-2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</c:errBars>
          <c:val>
            <c:numRef>
              <c:f>[1]APA!$A$77:$A$82</c:f>
              <c:numCache>
                <c:formatCode>General</c:formatCode>
                <c:ptCount val="6"/>
                <c:pt idx="0">
                  <c:v>4.6900360685302065</c:v>
                </c:pt>
                <c:pt idx="1">
                  <c:v>4.69990982867448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APA!#REF!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6EA-4C4C-B5DE-08017ED8A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020904"/>
        <c:axId val="316021296"/>
      </c:barChart>
      <c:catAx>
        <c:axId val="316020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Chrmium Concentration mg/Kg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16021296"/>
        <c:crosses val="autoZero"/>
        <c:auto val="1"/>
        <c:lblAlgn val="ctr"/>
        <c:lblOffset val="100"/>
        <c:noMultiLvlLbl val="0"/>
      </c:catAx>
      <c:valAx>
        <c:axId val="3160212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PNP  (µg/kg Soil/ hr 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6020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[1]APA!$B$88:$B$93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[1]APA!$B$88:$B$93</c:f>
                <c:numCache>
                  <c:formatCode>General</c:formatCode>
                  <c:ptCount val="6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</c:errBars>
          <c:val>
            <c:numRef>
              <c:f>[1]APA!$A$88:$A$93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APA!#REF!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17B-4D02-B61E-9A454CCD2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6022080"/>
        <c:axId val="390004432"/>
      </c:barChart>
      <c:catAx>
        <c:axId val="31602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Chromium Concentration mg/Kg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90004432"/>
        <c:crosses val="autoZero"/>
        <c:auto val="1"/>
        <c:lblAlgn val="ctr"/>
        <c:lblOffset val="100"/>
        <c:noMultiLvlLbl val="0"/>
      </c:catAx>
      <c:valAx>
        <c:axId val="3900044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PNP  (µg/kg Soil/ hr 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16022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PK"/>
                </a:p>
              </c:txPr>
            </c:trendlineLbl>
          </c:trendline>
          <c:xVal>
            <c:numRef>
              <c:f>[1]Urease!$J$4:$J$10</c:f>
              <c:numCache>
                <c:formatCode>General</c:formatCode>
                <c:ptCount val="7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</c:numCache>
            </c:numRef>
          </c:xVal>
          <c:yVal>
            <c:numRef>
              <c:f>[1]Urease!$K$4:$K$10</c:f>
              <c:numCache>
                <c:formatCode>General</c:formatCode>
                <c:ptCount val="7"/>
                <c:pt idx="0">
                  <c:v>0.13600000000000001</c:v>
                </c:pt>
                <c:pt idx="2">
                  <c:v>0.38600000000000001</c:v>
                </c:pt>
                <c:pt idx="3">
                  <c:v>0.57299999999999995</c:v>
                </c:pt>
                <c:pt idx="4">
                  <c:v>0.81699999999999995</c:v>
                </c:pt>
                <c:pt idx="5">
                  <c:v>0.95799999999999996</c:v>
                </c:pt>
                <c:pt idx="6">
                  <c:v>1.702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F8E-4807-A63C-6CF7BDEBB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0005216"/>
        <c:axId val="390005608"/>
      </c:scatterChart>
      <c:valAx>
        <c:axId val="390005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390005608"/>
        <c:crosses val="autoZero"/>
        <c:crossBetween val="midCat"/>
      </c:valAx>
      <c:valAx>
        <c:axId val="390005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390005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PK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PK"/>
                </a:p>
              </c:txPr>
            </c:trendlineLbl>
          </c:trendline>
          <c:xVal>
            <c:numRef>
              <c:f>[1]Dehydrogenase!$J$4:$J$8</c:f>
              <c:numCache>
                <c:formatCode>General</c:formatCode>
                <c:ptCount val="5"/>
                <c:pt idx="0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5</c:v>
                </c:pt>
              </c:numCache>
            </c:numRef>
          </c:xVal>
          <c:yVal>
            <c:numRef>
              <c:f>[1]Dehydrogenase!$K$4:$K$8</c:f>
              <c:numCache>
                <c:formatCode>General</c:formatCode>
                <c:ptCount val="5"/>
                <c:pt idx="0">
                  <c:v>9.3333333333333324E-3</c:v>
                </c:pt>
                <c:pt idx="2">
                  <c:v>0.93033333333333346</c:v>
                </c:pt>
                <c:pt idx="3">
                  <c:v>1.2270000000000001</c:v>
                </c:pt>
                <c:pt idx="4">
                  <c:v>1.381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DAC-42C6-9972-E5E4C07F8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8204008"/>
        <c:axId val="318204400"/>
      </c:scatterChart>
      <c:valAx>
        <c:axId val="31820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318204400"/>
        <c:crosses val="autoZero"/>
        <c:crossBetween val="midCat"/>
      </c:valAx>
      <c:valAx>
        <c:axId val="31820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PK"/>
          </a:p>
        </c:txPr>
        <c:crossAx val="318204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P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06071024747637"/>
          <c:y val="5.7360454943132119E-2"/>
          <c:w val="0.72837948381452333"/>
          <c:h val="0.7719350571006086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21889261550349734"/>
                  <c:y val="6.260537484228354E-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 b="1"/>
                  </a:pPr>
                  <a:endParaRPr lang="en-PK"/>
                </a:p>
              </c:txPr>
            </c:trendlineLbl>
          </c:trendline>
          <c:xVal>
            <c:numRef>
              <c:f>[1]APA!$J$2:$J$8</c:f>
              <c:numCache>
                <c:formatCode>General</c:formatCode>
                <c:ptCount val="7"/>
                <c:pt idx="0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8</c:v>
                </c:pt>
                <c:pt idx="6">
                  <c:v>10</c:v>
                </c:pt>
              </c:numCache>
            </c:numRef>
          </c:xVal>
          <c:yVal>
            <c:numRef>
              <c:f>[1]APA!$K$2:$K$8</c:f>
              <c:numCache>
                <c:formatCode>General</c:formatCode>
                <c:ptCount val="7"/>
                <c:pt idx="0">
                  <c:v>0.123</c:v>
                </c:pt>
                <c:pt idx="2">
                  <c:v>0.376</c:v>
                </c:pt>
                <c:pt idx="3">
                  <c:v>0.56333333333333335</c:v>
                </c:pt>
                <c:pt idx="4">
                  <c:v>0.81066666666666665</c:v>
                </c:pt>
                <c:pt idx="5">
                  <c:v>0.95299999999999996</c:v>
                </c:pt>
                <c:pt idx="6">
                  <c:v>1.702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69-4C4A-A9D2-66ABBC0A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93824"/>
        <c:axId val="3594216"/>
      </c:scatterChart>
      <c:valAx>
        <c:axId val="3593824"/>
        <c:scaling>
          <c:orientation val="minMax"/>
        </c:scaling>
        <c:delete val="0"/>
        <c:axPos val="b"/>
        <c:numFmt formatCode="0.00" sourceLinked="0"/>
        <c:majorTickMark val="none"/>
        <c:minorTickMark val="none"/>
        <c:tickLblPos val="nextTo"/>
        <c:crossAx val="3594216"/>
        <c:crosses val="autoZero"/>
        <c:crossBetween val="midCat"/>
      </c:valAx>
      <c:valAx>
        <c:axId val="359421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Absorption</a:t>
                </a:r>
                <a:endParaRPr lang="en-US" sz="1100">
                  <a:effectLst/>
                </a:endParaRPr>
              </a:p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 i="0" u="none" strike="noStrike" baseline="0">
                    <a:effectLst/>
                  </a:rPr>
                  <a:t> </a:t>
                </a:r>
                <a:endParaRPr lang="en-US" sz="1100">
                  <a:effectLst/>
                </a:endParaRPr>
              </a:p>
            </c:rich>
          </c:tx>
          <c:layout>
            <c:manualLayout>
              <c:xMode val="edge"/>
              <c:yMode val="edge"/>
              <c:x val="3.2439921617984896E-2"/>
              <c:y val="0.31625459317585319"/>
            </c:manualLayout>
          </c:layout>
          <c:overlay val="0"/>
        </c:title>
        <c:numFmt formatCode="0.00" sourceLinked="0"/>
        <c:majorTickMark val="none"/>
        <c:minorTickMark val="none"/>
        <c:tickLblPos val="nextTo"/>
        <c:crossAx val="3593824"/>
        <c:crossesAt val="0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[1]APA!$B$63:$B$68</c:f>
                <c:numCache>
                  <c:formatCode>General</c:formatCode>
                  <c:ptCount val="6"/>
                  <c:pt idx="0">
                    <c:v>0.22983941266438843</c:v>
                  </c:pt>
                  <c:pt idx="1">
                    <c:v>4.6944447891776764E-2</c:v>
                  </c:pt>
                  <c:pt idx="2">
                    <c:v>9.3290891732834974E-2</c:v>
                  </c:pt>
                  <c:pt idx="3">
                    <c:v>2.5232942590922274E-2</c:v>
                  </c:pt>
                  <c:pt idx="4">
                    <c:v>0.16382964685662302</c:v>
                  </c:pt>
                  <c:pt idx="5">
                    <c:v>4.2758154334327308E-2</c:v>
                  </c:pt>
                </c:numCache>
              </c:numRef>
            </c:plus>
            <c:minus>
              <c:numRef>
                <c:f>[1]APA!$B$63:$B$68</c:f>
                <c:numCache>
                  <c:formatCode>General</c:formatCode>
                  <c:ptCount val="6"/>
                  <c:pt idx="0">
                    <c:v>0.22983941266438843</c:v>
                  </c:pt>
                  <c:pt idx="1">
                    <c:v>4.6944447891776764E-2</c:v>
                  </c:pt>
                  <c:pt idx="2">
                    <c:v>9.3290891732834974E-2</c:v>
                  </c:pt>
                  <c:pt idx="3">
                    <c:v>2.5232942590922274E-2</c:v>
                  </c:pt>
                  <c:pt idx="4">
                    <c:v>0.16382964685662302</c:v>
                  </c:pt>
                  <c:pt idx="5">
                    <c:v>4.2758154334327308E-2</c:v>
                  </c:pt>
                </c:numCache>
              </c:numRef>
            </c:minus>
          </c:errBars>
          <c:val>
            <c:numRef>
              <c:f>[1]APA!$A$63:$A$68</c:f>
              <c:numCache>
                <c:formatCode>General</c:formatCode>
                <c:ptCount val="6"/>
                <c:pt idx="0">
                  <c:v>5.9560715359182437</c:v>
                </c:pt>
                <c:pt idx="1">
                  <c:v>8.0185903216110592</c:v>
                </c:pt>
                <c:pt idx="2">
                  <c:v>4.7086865043582797</c:v>
                </c:pt>
                <c:pt idx="3">
                  <c:v>9.043267207694619</c:v>
                </c:pt>
                <c:pt idx="4">
                  <c:v>7.4930868650435825</c:v>
                </c:pt>
                <c:pt idx="5">
                  <c:v>4.8589870754433413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APA!#REF!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A5EE-461E-A2CF-922C642F1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856408"/>
        <c:axId val="400856800"/>
      </c:barChart>
      <c:catAx>
        <c:axId val="400856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00856800"/>
        <c:crosses val="autoZero"/>
        <c:auto val="1"/>
        <c:lblAlgn val="ctr"/>
        <c:lblOffset val="100"/>
        <c:noMultiLvlLbl val="0"/>
      </c:catAx>
      <c:valAx>
        <c:axId val="40085680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PNP  (µg/kg Soil/ hr 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856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[1]APA!$B$77:$B$82</c:f>
                <c:numCache>
                  <c:formatCode>General</c:formatCode>
                  <c:ptCount val="6"/>
                  <c:pt idx="0">
                    <c:v>1.6456266907123318E-2</c:v>
                  </c:pt>
                  <c:pt idx="1">
                    <c:v>6.2793112446742086E-2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plus>
            <c:minus>
              <c:numRef>
                <c:f>[1]APA!$B$77:$B$82</c:f>
                <c:numCache>
                  <c:formatCode>General</c:formatCode>
                  <c:ptCount val="6"/>
                  <c:pt idx="0">
                    <c:v>1.6456266907123318E-2</c:v>
                  </c:pt>
                  <c:pt idx="1">
                    <c:v>6.2793112446742086E-2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</c:numCache>
              </c:numRef>
            </c:minus>
          </c:errBars>
          <c:val>
            <c:numRef>
              <c:f>[1]APA!$A$77:$A$82</c:f>
              <c:numCache>
                <c:formatCode>General</c:formatCode>
                <c:ptCount val="6"/>
                <c:pt idx="0">
                  <c:v>4.6900360685302065</c:v>
                </c:pt>
                <c:pt idx="1">
                  <c:v>4.69990982867448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APA!#REF!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C98-4B57-B361-96D1F1A43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0857584"/>
        <c:axId val="310996520"/>
      </c:barChart>
      <c:catAx>
        <c:axId val="400857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Chrmium Concentration mg/Kg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310996520"/>
        <c:crosses val="autoZero"/>
        <c:auto val="1"/>
        <c:lblAlgn val="ctr"/>
        <c:lblOffset val="100"/>
        <c:noMultiLvlLbl val="0"/>
      </c:catAx>
      <c:valAx>
        <c:axId val="310996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PNP  (µg/kg Soil/ hr ) 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008575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158746</xdr:colOff>
      <xdr:row>1</xdr:row>
      <xdr:rowOff>44450</xdr:rowOff>
    </xdr:from>
    <xdr:to>
      <xdr:col>20</xdr:col>
      <xdr:colOff>328083</xdr:colOff>
      <xdr:row>19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486833</xdr:colOff>
      <xdr:row>59</xdr:row>
      <xdr:rowOff>57150</xdr:rowOff>
    </xdr:from>
    <xdr:to>
      <xdr:col>7</xdr:col>
      <xdr:colOff>412750</xdr:colOff>
      <xdr:row>73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560917</xdr:colOff>
      <xdr:row>75</xdr:row>
      <xdr:rowOff>46568</xdr:rowOff>
    </xdr:from>
    <xdr:to>
      <xdr:col>7</xdr:col>
      <xdr:colOff>486834</xdr:colOff>
      <xdr:row>89</xdr:row>
      <xdr:rowOff>122768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550334</xdr:colOff>
      <xdr:row>91</xdr:row>
      <xdr:rowOff>99484</xdr:rowOff>
    </xdr:from>
    <xdr:to>
      <xdr:col>7</xdr:col>
      <xdr:colOff>476251</xdr:colOff>
      <xdr:row>105</xdr:row>
      <xdr:rowOff>175684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0.42101</cdr:x>
      <cdr:y>0.8977</cdr:y>
    </cdr:from>
    <cdr:to>
      <cdr:x>0.60774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61634" y="3326164"/>
          <a:ext cx="914400" cy="379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Conc. (µg)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457200</xdr:colOff>
      <xdr:row>1</xdr:row>
      <xdr:rowOff>71437</xdr:rowOff>
    </xdr:from>
    <xdr:to>
      <xdr:col>22</xdr:col>
      <xdr:colOff>152400</xdr:colOff>
      <xdr:row>14</xdr:row>
      <xdr:rowOff>138112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</xdr:colOff>
      <xdr:row>2</xdr:row>
      <xdr:rowOff>919162</xdr:rowOff>
    </xdr:from>
    <xdr:to>
      <xdr:col>18</xdr:col>
      <xdr:colOff>333375</xdr:colOff>
      <xdr:row>20</xdr:row>
      <xdr:rowOff>33337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158746</xdr:colOff>
      <xdr:row>4</xdr:row>
      <xdr:rowOff>44450</xdr:rowOff>
    </xdr:from>
    <xdr:to>
      <xdr:col>20</xdr:col>
      <xdr:colOff>328083</xdr:colOff>
      <xdr:row>22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486833</xdr:colOff>
      <xdr:row>62</xdr:row>
      <xdr:rowOff>57150</xdr:rowOff>
    </xdr:from>
    <xdr:to>
      <xdr:col>7</xdr:col>
      <xdr:colOff>412750</xdr:colOff>
      <xdr:row>76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560917</xdr:colOff>
      <xdr:row>78</xdr:row>
      <xdr:rowOff>46568</xdr:rowOff>
    </xdr:from>
    <xdr:to>
      <xdr:col>7</xdr:col>
      <xdr:colOff>486834</xdr:colOff>
      <xdr:row>92</xdr:row>
      <xdr:rowOff>122768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550334</xdr:colOff>
      <xdr:row>94</xdr:row>
      <xdr:rowOff>99484</xdr:rowOff>
    </xdr:from>
    <xdr:to>
      <xdr:col>7</xdr:col>
      <xdr:colOff>476251</xdr:colOff>
      <xdr:row>108</xdr:row>
      <xdr:rowOff>175684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0.42101</cdr:x>
      <cdr:y>0.8977</cdr:y>
    </cdr:from>
    <cdr:to>
      <cdr:x>0.60774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061634" y="3326164"/>
          <a:ext cx="914400" cy="3790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/>
            <a:t>Conc. (µg)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%20Students/M.Phil/Faiza/NP/Copy%20of%20enzymes%20n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A"/>
      <sheetName val="Urease"/>
      <sheetName val="Dehydrogenase"/>
      <sheetName val="glucosidase"/>
      <sheetName val="graphs"/>
    </sheetNames>
    <sheetDataSet>
      <sheetData sheetId="0">
        <row r="2">
          <cell r="J2">
            <v>1</v>
          </cell>
          <cell r="K2">
            <v>0.123</v>
          </cell>
        </row>
        <row r="3">
          <cell r="J3"/>
          <cell r="K3"/>
        </row>
        <row r="4">
          <cell r="J4">
            <v>2</v>
          </cell>
          <cell r="K4">
            <v>0.376</v>
          </cell>
        </row>
        <row r="5">
          <cell r="J5">
            <v>4</v>
          </cell>
          <cell r="K5">
            <v>0.56333333333333335</v>
          </cell>
        </row>
        <row r="6">
          <cell r="J6">
            <v>6</v>
          </cell>
          <cell r="K6">
            <v>0.81066666666666665</v>
          </cell>
        </row>
        <row r="7">
          <cell r="J7">
            <v>8</v>
          </cell>
          <cell r="K7">
            <v>0.95299999999999996</v>
          </cell>
        </row>
        <row r="8">
          <cell r="J8">
            <v>10</v>
          </cell>
          <cell r="K8">
            <v>1.702</v>
          </cell>
        </row>
        <row r="63">
          <cell r="A63">
            <v>5.9560715359182437</v>
          </cell>
          <cell r="B63">
            <v>0.22983941266438843</v>
          </cell>
        </row>
        <row r="64">
          <cell r="A64">
            <v>8.0185903216110592</v>
          </cell>
          <cell r="B64">
            <v>4.6944447891776764E-2</v>
          </cell>
        </row>
        <row r="65">
          <cell r="A65">
            <v>4.7086865043582797</v>
          </cell>
          <cell r="B65">
            <v>9.3290891732834974E-2</v>
          </cell>
        </row>
        <row r="66">
          <cell r="A66">
            <v>9.043267207694619</v>
          </cell>
          <cell r="B66">
            <v>2.5232942590922274E-2</v>
          </cell>
        </row>
        <row r="67">
          <cell r="A67">
            <v>7.4930868650435825</v>
          </cell>
          <cell r="B67">
            <v>0.16382964685662302</v>
          </cell>
        </row>
        <row r="68">
          <cell r="A68">
            <v>4.8589870754433413</v>
          </cell>
          <cell r="B68">
            <v>4.2758154334327308E-2</v>
          </cell>
        </row>
        <row r="77">
          <cell r="A77">
            <v>4.6900360685302065</v>
          </cell>
          <cell r="B77">
            <v>1.6456266907123318E-2</v>
          </cell>
        </row>
        <row r="78">
          <cell r="A78">
            <v>4.69990982867448</v>
          </cell>
          <cell r="B78">
            <v>6.2793112446742086E-2</v>
          </cell>
        </row>
        <row r="79">
          <cell r="A79">
            <v>0</v>
          </cell>
          <cell r="B79">
            <v>0</v>
          </cell>
        </row>
        <row r="80">
          <cell r="A80">
            <v>0</v>
          </cell>
          <cell r="B80">
            <v>0</v>
          </cell>
        </row>
        <row r="81">
          <cell r="A81">
            <v>0</v>
          </cell>
          <cell r="B81">
            <v>0</v>
          </cell>
        </row>
        <row r="82">
          <cell r="A82">
            <v>0</v>
          </cell>
          <cell r="B82">
            <v>0</v>
          </cell>
        </row>
        <row r="88">
          <cell r="A88">
            <v>0</v>
          </cell>
          <cell r="B88">
            <v>0</v>
          </cell>
        </row>
        <row r="89">
          <cell r="A89">
            <v>0</v>
          </cell>
          <cell r="B89">
            <v>0</v>
          </cell>
        </row>
        <row r="90">
          <cell r="A90">
            <v>0</v>
          </cell>
          <cell r="B90">
            <v>0</v>
          </cell>
        </row>
        <row r="91">
          <cell r="A91">
            <v>0</v>
          </cell>
          <cell r="B91">
            <v>0</v>
          </cell>
        </row>
        <row r="92">
          <cell r="A92">
            <v>0</v>
          </cell>
          <cell r="B92">
            <v>0</v>
          </cell>
        </row>
        <row r="93">
          <cell r="A93">
            <v>0</v>
          </cell>
          <cell r="B93">
            <v>0</v>
          </cell>
        </row>
      </sheetData>
      <sheetData sheetId="1">
        <row r="4">
          <cell r="J4">
            <v>0</v>
          </cell>
          <cell r="K4">
            <v>0.13600000000000001</v>
          </cell>
        </row>
        <row r="6">
          <cell r="J6">
            <v>1</v>
          </cell>
          <cell r="K6">
            <v>0.38600000000000001</v>
          </cell>
        </row>
        <row r="7">
          <cell r="J7">
            <v>2</v>
          </cell>
          <cell r="K7">
            <v>0.57299999999999995</v>
          </cell>
        </row>
        <row r="8">
          <cell r="J8">
            <v>4</v>
          </cell>
          <cell r="K8">
            <v>0.81699999999999995</v>
          </cell>
        </row>
        <row r="9">
          <cell r="J9">
            <v>6</v>
          </cell>
          <cell r="K9">
            <v>0.95799999999999996</v>
          </cell>
        </row>
        <row r="10">
          <cell r="J10">
            <v>8</v>
          </cell>
          <cell r="K10">
            <v>1.702</v>
          </cell>
        </row>
      </sheetData>
      <sheetData sheetId="2">
        <row r="4">
          <cell r="J4">
            <v>0</v>
          </cell>
          <cell r="K4">
            <v>9.3333333333333324E-3</v>
          </cell>
        </row>
        <row r="6">
          <cell r="J6">
            <v>1</v>
          </cell>
          <cell r="K6">
            <v>0.93033333333333346</v>
          </cell>
        </row>
        <row r="7">
          <cell r="J7">
            <v>2</v>
          </cell>
          <cell r="K7">
            <v>1.2270000000000001</v>
          </cell>
        </row>
        <row r="8">
          <cell r="J8">
            <v>5</v>
          </cell>
          <cell r="K8">
            <v>1.381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27"/>
  <sheetViews>
    <sheetView zoomScale="90" zoomScaleNormal="90" workbookViewId="0">
      <selection activeCell="C3" sqref="C3"/>
    </sheetView>
  </sheetViews>
  <sheetFormatPr defaultRowHeight="15" x14ac:dyDescent="0.25"/>
  <cols>
    <col min="6" max="6" width="23.42578125" customWidth="1"/>
    <col min="7" max="7" width="15.28515625" customWidth="1"/>
    <col min="8" max="8" width="15.85546875" customWidth="1"/>
    <col min="11" max="11" width="11.28515625" customWidth="1"/>
    <col min="16" max="16" width="16" customWidth="1"/>
  </cols>
  <sheetData>
    <row r="2" spans="1:21" ht="15.75" x14ac:dyDescent="0.25">
      <c r="A2" s="59" t="s">
        <v>30</v>
      </c>
      <c r="B2" s="59"/>
      <c r="C2" s="59"/>
      <c r="D2" s="59"/>
      <c r="E2" s="59"/>
      <c r="F2" s="59"/>
      <c r="G2" s="59" t="s">
        <v>76</v>
      </c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4"/>
    </row>
    <row r="3" spans="1:21" ht="15.75" x14ac:dyDescent="0.25">
      <c r="A3" s="5" t="s">
        <v>31</v>
      </c>
      <c r="B3" s="5" t="s">
        <v>32</v>
      </c>
      <c r="C3" s="2"/>
      <c r="D3" s="2" t="s">
        <v>33</v>
      </c>
      <c r="E3" s="2" t="s">
        <v>34</v>
      </c>
      <c r="F3" s="2" t="s">
        <v>77</v>
      </c>
      <c r="G3" s="6" t="s">
        <v>75</v>
      </c>
      <c r="H3" s="2" t="s">
        <v>46</v>
      </c>
      <c r="I3" s="2" t="s">
        <v>47</v>
      </c>
      <c r="J3" s="7"/>
      <c r="K3" s="2" t="s">
        <v>33</v>
      </c>
      <c r="L3" s="2" t="s">
        <v>34</v>
      </c>
      <c r="M3" s="2" t="s">
        <v>35</v>
      </c>
      <c r="N3" s="2" t="s">
        <v>36</v>
      </c>
      <c r="O3" s="8" t="s">
        <v>37</v>
      </c>
      <c r="P3" s="2" t="s">
        <v>44</v>
      </c>
      <c r="Q3" s="9" t="s">
        <v>38</v>
      </c>
      <c r="R3" s="2" t="s">
        <v>47</v>
      </c>
      <c r="S3" s="10" t="s">
        <v>39</v>
      </c>
      <c r="U3" t="s">
        <v>43</v>
      </c>
    </row>
    <row r="4" spans="1:21" ht="15.75" x14ac:dyDescent="0.25">
      <c r="A4" s="5">
        <v>1</v>
      </c>
      <c r="B4" s="5" t="s">
        <v>8</v>
      </c>
      <c r="C4">
        <v>10.75</v>
      </c>
      <c r="D4">
        <f>AVERAGE($S$4:$S$6)-C4</f>
        <v>1.3900000000000006</v>
      </c>
      <c r="E4">
        <v>5</v>
      </c>
      <c r="F4">
        <v>4.2229729729729728</v>
      </c>
      <c r="G4" s="11">
        <f>D4*0.003*(0.033/F4)*(25/5)*100*1000*10</f>
        <v>162.93024000000008</v>
      </c>
      <c r="H4" s="15">
        <f>AVERAGE(G4:G6)</f>
        <v>159.74145000000004</v>
      </c>
      <c r="I4" s="16">
        <f>STDEV(G4:G6)/SQRT(3)</f>
        <v>1.772922320379583</v>
      </c>
      <c r="J4" s="7">
        <v>9.5500000000000007</v>
      </c>
      <c r="K4">
        <f>(AVERAGE($S$4:$S$6))-J4</f>
        <v>2.59</v>
      </c>
      <c r="L4">
        <v>5</v>
      </c>
      <c r="M4">
        <v>4.2229729729729728</v>
      </c>
      <c r="N4">
        <f>K4*0.003*(0.033/M4)*(25/5)*100*1000*10</f>
        <v>303.58944000000002</v>
      </c>
      <c r="O4" s="12">
        <f>(N4-G4)/0.35</f>
        <v>401.88342857142845</v>
      </c>
      <c r="P4" s="5" t="s">
        <v>8</v>
      </c>
      <c r="Q4" s="13">
        <f>AVERAGE(O4:O6)</f>
        <v>473.80928571428586</v>
      </c>
      <c r="R4" s="16">
        <f>STDEV(O4:O6)/SQRT(3)</f>
        <v>36.075078605744459</v>
      </c>
      <c r="S4">
        <v>12.15</v>
      </c>
      <c r="U4">
        <f>STDEV(O4:O6)/SQRT(3)</f>
        <v>36.075078605744459</v>
      </c>
    </row>
    <row r="5" spans="1:21" ht="15.75" x14ac:dyDescent="0.25">
      <c r="A5" s="5">
        <v>2</v>
      </c>
      <c r="B5" s="5" t="s">
        <v>8</v>
      </c>
      <c r="C5">
        <v>10.8</v>
      </c>
      <c r="D5">
        <f t="shared" ref="D5:D27" si="0">AVERAGE($S$4:$S$6)-C5</f>
        <v>1.3399999999999999</v>
      </c>
      <c r="E5">
        <v>5</v>
      </c>
      <c r="F5">
        <v>4.230118443316413</v>
      </c>
      <c r="G5" s="11">
        <f t="shared" ref="G5:G27" si="1">D5*0.003*(0.033/F5)*(25/5)*100*1000*10</f>
        <v>156.80411999999995</v>
      </c>
      <c r="H5" s="13"/>
      <c r="J5" s="7">
        <v>9.2899999999999991</v>
      </c>
      <c r="K5">
        <f t="shared" ref="K5:K27" si="2">(AVERAGE($S$4:$S$6))-J5</f>
        <v>2.8500000000000014</v>
      </c>
      <c r="L5">
        <v>5</v>
      </c>
      <c r="M5">
        <v>4.230118443316413</v>
      </c>
      <c r="N5">
        <f>K5*0.003*(0.033/M5)*(25/5)*100*1000*10</f>
        <v>333.50130000000013</v>
      </c>
      <c r="O5" s="12">
        <f t="shared" ref="O5:O27" si="3">(N5-G5)/0.35</f>
        <v>504.84908571428622</v>
      </c>
      <c r="P5" s="5"/>
      <c r="Q5" s="13"/>
      <c r="S5">
        <v>11.89</v>
      </c>
    </row>
    <row r="6" spans="1:21" ht="15.75" x14ac:dyDescent="0.25">
      <c r="A6" s="5">
        <v>3</v>
      </c>
      <c r="B6" s="5" t="s">
        <v>8</v>
      </c>
      <c r="C6">
        <v>10.75</v>
      </c>
      <c r="D6">
        <f t="shared" si="0"/>
        <v>1.3900000000000006</v>
      </c>
      <c r="E6">
        <v>5</v>
      </c>
      <c r="F6">
        <v>4.3140638481449525</v>
      </c>
      <c r="G6" s="11">
        <f t="shared" si="1"/>
        <v>159.48999000000009</v>
      </c>
      <c r="H6" s="13"/>
      <c r="J6" s="7">
        <v>9.18</v>
      </c>
      <c r="K6">
        <f t="shared" si="2"/>
        <v>2.9600000000000009</v>
      </c>
      <c r="L6">
        <v>5</v>
      </c>
      <c r="M6">
        <v>4.3140638481449525</v>
      </c>
      <c r="N6">
        <f t="shared" ref="N6:N27" si="4">K6*0.003*(0.033/M6)*(25/5)*100*1000*10</f>
        <v>339.63336000000015</v>
      </c>
      <c r="O6" s="12">
        <f t="shared" si="3"/>
        <v>514.69534285714303</v>
      </c>
      <c r="P6" s="5"/>
      <c r="Q6" s="13"/>
      <c r="S6">
        <v>12.38</v>
      </c>
    </row>
    <row r="7" spans="1:21" ht="15.75" x14ac:dyDescent="0.25">
      <c r="A7" s="5">
        <v>4</v>
      </c>
      <c r="B7" s="5" t="s">
        <v>9</v>
      </c>
      <c r="C7">
        <v>10.87</v>
      </c>
      <c r="D7">
        <f t="shared" si="0"/>
        <v>1.2700000000000014</v>
      </c>
      <c r="E7">
        <v>5</v>
      </c>
      <c r="F7">
        <v>4.3103448275862073</v>
      </c>
      <c r="G7" s="11">
        <f t="shared" si="1"/>
        <v>145.84680000000014</v>
      </c>
      <c r="H7" s="15">
        <f>AVERAGE(G7:G9)</f>
        <v>156.53187000000011</v>
      </c>
      <c r="I7" s="16">
        <f t="shared" ref="I7" si="5">STDEV(G7:G9)/SQRT(3)</f>
        <v>13.220688519441707</v>
      </c>
      <c r="J7" s="7">
        <v>9.0500000000000007</v>
      </c>
      <c r="K7">
        <f t="shared" si="2"/>
        <v>3.09</v>
      </c>
      <c r="L7">
        <v>5</v>
      </c>
      <c r="M7">
        <v>4.3103448275862073</v>
      </c>
      <c r="N7">
        <f t="shared" si="4"/>
        <v>354.85560000000009</v>
      </c>
      <c r="O7" s="12">
        <f t="shared" si="3"/>
        <v>597.16799999999989</v>
      </c>
      <c r="P7" s="5" t="s">
        <v>9</v>
      </c>
      <c r="Q7" s="13">
        <f>AVERAGE(O7:O9)</f>
        <v>576.66462857142869</v>
      </c>
      <c r="R7" s="16">
        <f t="shared" ref="R7" si="6">STDEV(O7:O9)/SQRT(3)</f>
        <v>32.710722266659403</v>
      </c>
      <c r="S7" s="7"/>
      <c r="U7">
        <f t="shared" ref="U7" si="7">STDEV(O7:O9)/SQRT(3)</f>
        <v>32.710722266659403</v>
      </c>
    </row>
    <row r="8" spans="1:21" ht="15.75" x14ac:dyDescent="0.25">
      <c r="A8" s="5">
        <v>5</v>
      </c>
      <c r="B8" s="5" t="s">
        <v>9</v>
      </c>
      <c r="C8">
        <v>10.53</v>
      </c>
      <c r="D8">
        <f t="shared" si="0"/>
        <v>1.6100000000000012</v>
      </c>
      <c r="E8">
        <v>5</v>
      </c>
      <c r="F8">
        <v>4.3591979075850045</v>
      </c>
      <c r="G8" s="11">
        <f t="shared" si="1"/>
        <v>182.82033000000013</v>
      </c>
      <c r="H8" s="13"/>
      <c r="J8" s="7">
        <v>8.9499999999999993</v>
      </c>
      <c r="K8">
        <f t="shared" si="2"/>
        <v>3.1900000000000013</v>
      </c>
      <c r="L8">
        <v>5</v>
      </c>
      <c r="M8">
        <v>4.3591979075850045</v>
      </c>
      <c r="N8">
        <f t="shared" si="4"/>
        <v>362.2340700000002</v>
      </c>
      <c r="O8" s="12">
        <f t="shared" si="3"/>
        <v>512.61068571428598</v>
      </c>
      <c r="P8" s="5"/>
      <c r="Q8" s="13"/>
      <c r="S8" s="7"/>
    </row>
    <row r="9" spans="1:21" ht="15.75" x14ac:dyDescent="0.25">
      <c r="A9" s="5">
        <v>6</v>
      </c>
      <c r="B9" s="5" t="s">
        <v>9</v>
      </c>
      <c r="C9">
        <v>10.9</v>
      </c>
      <c r="D9">
        <f t="shared" si="0"/>
        <v>1.2400000000000002</v>
      </c>
      <c r="E9">
        <v>5</v>
      </c>
      <c r="F9">
        <v>4.3554006968641117</v>
      </c>
      <c r="G9" s="11">
        <f t="shared" si="1"/>
        <v>140.92848000000001</v>
      </c>
      <c r="H9" s="13"/>
      <c r="J9" s="7">
        <v>8.99</v>
      </c>
      <c r="K9">
        <f t="shared" si="2"/>
        <v>3.1500000000000004</v>
      </c>
      <c r="L9">
        <v>5</v>
      </c>
      <c r="M9">
        <v>4.3554006968641117</v>
      </c>
      <c r="N9">
        <f t="shared" si="4"/>
        <v>358.00380000000007</v>
      </c>
      <c r="O9" s="12">
        <f t="shared" si="3"/>
        <v>620.21520000000021</v>
      </c>
      <c r="P9" s="5"/>
      <c r="Q9" s="13"/>
    </row>
    <row r="10" spans="1:21" ht="15.75" x14ac:dyDescent="0.25">
      <c r="A10" s="5">
        <v>7</v>
      </c>
      <c r="B10" s="5" t="s">
        <v>10</v>
      </c>
      <c r="C10">
        <v>10.79</v>
      </c>
      <c r="D10">
        <f t="shared" si="0"/>
        <v>1.3500000000000014</v>
      </c>
      <c r="E10">
        <v>5</v>
      </c>
      <c r="F10">
        <v>4.3215211754537597</v>
      </c>
      <c r="G10" s="11">
        <f t="shared" si="1"/>
        <v>154.63305000000014</v>
      </c>
      <c r="H10" s="15">
        <f t="shared" ref="H10" si="8">AVERAGE(G10:G12)</f>
        <v>166.52790000000005</v>
      </c>
      <c r="I10" s="16">
        <f t="shared" ref="I10" si="9">STDEV(G10:G12)/SQRT(3)</f>
        <v>10.120139419854818</v>
      </c>
      <c r="J10" s="7">
        <v>8.5399999999999991</v>
      </c>
      <c r="K10">
        <f t="shared" si="2"/>
        <v>3.6000000000000014</v>
      </c>
      <c r="L10">
        <v>5</v>
      </c>
      <c r="M10">
        <v>4.3215211754537597</v>
      </c>
      <c r="N10">
        <f t="shared" si="4"/>
        <v>412.35480000000007</v>
      </c>
      <c r="O10" s="12">
        <f t="shared" si="3"/>
        <v>736.34785714285704</v>
      </c>
      <c r="P10" s="5" t="s">
        <v>10</v>
      </c>
      <c r="Q10" s="13">
        <f>AVERAGE(O10:O12)</f>
        <v>725.95757142857144</v>
      </c>
      <c r="R10" s="16">
        <f t="shared" ref="R10" si="10">STDEV(O10:O12)/SQRT(3)</f>
        <v>5.2245570699478971</v>
      </c>
      <c r="U10">
        <f t="shared" ref="U10" si="11">STDEV(O10:O12)/SQRT(3)</f>
        <v>5.2245570699478971</v>
      </c>
    </row>
    <row r="11" spans="1:21" ht="15.75" x14ac:dyDescent="0.25">
      <c r="A11" s="5">
        <v>8</v>
      </c>
      <c r="B11" s="5" t="s">
        <v>10</v>
      </c>
      <c r="C11">
        <v>10.47</v>
      </c>
      <c r="D11">
        <f t="shared" si="0"/>
        <v>1.67</v>
      </c>
      <c r="E11">
        <v>5</v>
      </c>
      <c r="F11">
        <v>4.4286979627989371</v>
      </c>
      <c r="G11" s="11">
        <f t="shared" si="1"/>
        <v>186.65756999999999</v>
      </c>
      <c r="H11" s="13"/>
      <c r="J11" s="7">
        <v>8.2100000000000009</v>
      </c>
      <c r="K11">
        <f t="shared" si="2"/>
        <v>3.9299999999999997</v>
      </c>
      <c r="L11">
        <v>5</v>
      </c>
      <c r="M11">
        <v>4.4286979627989371</v>
      </c>
      <c r="N11">
        <f t="shared" si="4"/>
        <v>439.26003000000003</v>
      </c>
      <c r="O11" s="12">
        <f t="shared" si="3"/>
        <v>721.72131428571447</v>
      </c>
      <c r="P11" s="5"/>
      <c r="Q11" s="13"/>
    </row>
    <row r="12" spans="1:21" ht="15.75" x14ac:dyDescent="0.25">
      <c r="A12" s="5">
        <v>9</v>
      </c>
      <c r="B12" s="5" t="s">
        <v>10</v>
      </c>
      <c r="C12">
        <v>10.72</v>
      </c>
      <c r="D12">
        <f t="shared" si="0"/>
        <v>1.42</v>
      </c>
      <c r="E12">
        <v>5</v>
      </c>
      <c r="F12">
        <v>4.4404973357015987</v>
      </c>
      <c r="G12" s="11">
        <f t="shared" si="1"/>
        <v>158.29308</v>
      </c>
      <c r="H12" s="13"/>
      <c r="J12" s="7">
        <v>8.4600000000000009</v>
      </c>
      <c r="K12">
        <f t="shared" si="2"/>
        <v>3.6799999999999997</v>
      </c>
      <c r="L12">
        <v>5</v>
      </c>
      <c r="M12">
        <v>4.4404973357015987</v>
      </c>
      <c r="N12">
        <f t="shared" si="4"/>
        <v>410.22431999999992</v>
      </c>
      <c r="O12" s="12">
        <f t="shared" si="3"/>
        <v>719.8035428571427</v>
      </c>
      <c r="P12" s="5"/>
      <c r="Q12" s="13"/>
    </row>
    <row r="13" spans="1:21" ht="15.75" x14ac:dyDescent="0.25">
      <c r="A13" s="5">
        <v>10</v>
      </c>
      <c r="B13" s="5" t="s">
        <v>11</v>
      </c>
      <c r="C13">
        <v>10.82</v>
      </c>
      <c r="D13">
        <f t="shared" si="0"/>
        <v>1.3200000000000003</v>
      </c>
      <c r="E13">
        <v>5</v>
      </c>
      <c r="F13">
        <v>4.3554006968641117</v>
      </c>
      <c r="G13" s="11">
        <f t="shared" si="1"/>
        <v>150.02064000000001</v>
      </c>
      <c r="H13" s="15">
        <f t="shared" ref="H13" si="12">AVERAGE(G13:G15)</f>
        <v>165.41910000000004</v>
      </c>
      <c r="I13" s="16">
        <f t="shared" ref="I13" si="13">STDEV(G13:G15)/SQRT(3)</f>
        <v>7.865790923308376</v>
      </c>
      <c r="J13" s="7">
        <v>8.4499999999999993</v>
      </c>
      <c r="K13">
        <f t="shared" si="2"/>
        <v>3.6900000000000013</v>
      </c>
      <c r="L13">
        <v>5</v>
      </c>
      <c r="M13">
        <v>4.3554006968641117</v>
      </c>
      <c r="N13">
        <f t="shared" si="4"/>
        <v>419.37588000000011</v>
      </c>
      <c r="O13" s="12">
        <f t="shared" si="3"/>
        <v>769.58640000000037</v>
      </c>
      <c r="P13" s="5" t="s">
        <v>11</v>
      </c>
      <c r="Q13" s="13">
        <f>AVERAGE(O13:O15)</f>
        <v>757.03508571428608</v>
      </c>
      <c r="R13" s="16">
        <f t="shared" ref="R13" si="14">STDEV(O13:O15)/SQRT(3)</f>
        <v>115.5490325528289</v>
      </c>
      <c r="U13">
        <f t="shared" ref="U13" si="15">STDEV(O13:O15)/SQRT(3)</f>
        <v>115.5490325528289</v>
      </c>
    </row>
    <row r="14" spans="1:21" ht="15.75" x14ac:dyDescent="0.25">
      <c r="A14" s="5">
        <v>11</v>
      </c>
      <c r="B14" s="5" t="s">
        <v>11</v>
      </c>
      <c r="C14">
        <v>10.58</v>
      </c>
      <c r="D14">
        <f t="shared" si="0"/>
        <v>1.5600000000000005</v>
      </c>
      <c r="E14">
        <v>5</v>
      </c>
      <c r="F14">
        <v>4.3898156277436344</v>
      </c>
      <c r="G14" s="11">
        <f t="shared" si="1"/>
        <v>175.90716000000015</v>
      </c>
      <c r="H14" s="13"/>
      <c r="J14" s="7">
        <v>8.8699999999999992</v>
      </c>
      <c r="K14">
        <f t="shared" si="2"/>
        <v>3.2700000000000014</v>
      </c>
      <c r="L14">
        <v>5</v>
      </c>
      <c r="M14">
        <v>4.3898156277436344</v>
      </c>
      <c r="N14">
        <f t="shared" si="4"/>
        <v>368.7284700000003</v>
      </c>
      <c r="O14" s="12">
        <f t="shared" si="3"/>
        <v>550.91802857142909</v>
      </c>
      <c r="P14" s="5"/>
      <c r="Q14" s="13"/>
    </row>
    <row r="15" spans="1:21" ht="15.75" x14ac:dyDescent="0.25">
      <c r="A15" s="5">
        <v>12</v>
      </c>
      <c r="B15" s="5" t="s">
        <v>11</v>
      </c>
      <c r="C15">
        <v>10.64</v>
      </c>
      <c r="D15">
        <f t="shared" si="0"/>
        <v>1.5</v>
      </c>
      <c r="E15">
        <v>5</v>
      </c>
      <c r="F15">
        <v>4.3591979075850045</v>
      </c>
      <c r="G15" s="11">
        <f t="shared" si="1"/>
        <v>170.3295</v>
      </c>
      <c r="H15" s="13"/>
      <c r="J15" s="7">
        <v>7.71</v>
      </c>
      <c r="K15">
        <f t="shared" si="2"/>
        <v>4.4300000000000006</v>
      </c>
      <c r="L15">
        <v>5</v>
      </c>
      <c r="M15">
        <v>4.3591979075850045</v>
      </c>
      <c r="N15">
        <f t="shared" si="4"/>
        <v>503.03979000000004</v>
      </c>
      <c r="O15" s="12">
        <f t="shared" si="3"/>
        <v>950.60082857142879</v>
      </c>
      <c r="P15" s="5"/>
      <c r="Q15" s="13"/>
    </row>
    <row r="16" spans="1:21" ht="15.75" x14ac:dyDescent="0.25">
      <c r="A16" s="5">
        <v>13</v>
      </c>
      <c r="B16" s="5" t="s">
        <v>12</v>
      </c>
      <c r="C16">
        <v>10.52</v>
      </c>
      <c r="D16">
        <f t="shared" si="0"/>
        <v>1.620000000000001</v>
      </c>
      <c r="E16">
        <v>5</v>
      </c>
      <c r="F16">
        <v>4.3516100957354222</v>
      </c>
      <c r="G16" s="11">
        <f t="shared" si="1"/>
        <v>184.27662000000015</v>
      </c>
      <c r="H16" s="15">
        <f t="shared" ref="H16" si="16">AVERAGE(G16:G18)</f>
        <v>174.03903000000011</v>
      </c>
      <c r="I16" s="16">
        <f t="shared" ref="I16" si="17">STDEV(G16:G18)/SQRT(3)</f>
        <v>17.310153453817218</v>
      </c>
      <c r="J16" s="7">
        <v>7.01</v>
      </c>
      <c r="K16">
        <f t="shared" si="2"/>
        <v>5.1300000000000008</v>
      </c>
      <c r="L16">
        <v>5</v>
      </c>
      <c r="M16">
        <v>4.3516100957354222</v>
      </c>
      <c r="N16">
        <f t="shared" si="4"/>
        <v>583.54263000000014</v>
      </c>
      <c r="O16" s="12">
        <f t="shared" si="3"/>
        <v>1140.7600285714286</v>
      </c>
      <c r="P16" s="5" t="s">
        <v>12</v>
      </c>
      <c r="Q16" s="13">
        <f>AVERAGE(O16:O18)</f>
        <v>1153.0699714285718</v>
      </c>
      <c r="R16" s="16">
        <f t="shared" ref="R16" si="18">STDEV(O16:O18)/SQRT(3)</f>
        <v>11.633529846727386</v>
      </c>
      <c r="U16">
        <f t="shared" ref="U16" si="19">STDEV(O16:O18)/SQRT(3)</f>
        <v>11.633529846727386</v>
      </c>
    </row>
    <row r="17" spans="1:21" ht="15.75" x14ac:dyDescent="0.25">
      <c r="A17" s="5">
        <v>14</v>
      </c>
      <c r="B17" s="5" t="s">
        <v>12</v>
      </c>
      <c r="C17">
        <v>10.91</v>
      </c>
      <c r="D17">
        <f t="shared" si="0"/>
        <v>1.2300000000000004</v>
      </c>
      <c r="E17">
        <v>5</v>
      </c>
      <c r="F17">
        <v>4.3402777777777777</v>
      </c>
      <c r="G17" s="11">
        <f t="shared" si="1"/>
        <v>140.27904000000009</v>
      </c>
      <c r="H17" s="13"/>
      <c r="J17" s="7">
        <v>7.3</v>
      </c>
      <c r="K17">
        <f t="shared" si="2"/>
        <v>4.8400000000000007</v>
      </c>
      <c r="L17">
        <v>5</v>
      </c>
      <c r="M17">
        <v>4.3402777777777777</v>
      </c>
      <c r="N17">
        <f t="shared" si="4"/>
        <v>551.99232000000029</v>
      </c>
      <c r="O17" s="12">
        <f t="shared" si="3"/>
        <v>1176.3236571428577</v>
      </c>
      <c r="P17" s="5"/>
      <c r="Q17" s="13"/>
    </row>
    <row r="18" spans="1:21" ht="15.75" x14ac:dyDescent="0.25">
      <c r="A18" s="5">
        <v>15</v>
      </c>
      <c r="B18" s="5" t="s">
        <v>12</v>
      </c>
      <c r="C18">
        <v>10.43</v>
      </c>
      <c r="D18">
        <f t="shared" si="0"/>
        <v>1.7100000000000009</v>
      </c>
      <c r="E18">
        <v>5</v>
      </c>
      <c r="F18">
        <v>4.284490145672665</v>
      </c>
      <c r="G18" s="11">
        <f t="shared" si="1"/>
        <v>197.56143000000009</v>
      </c>
      <c r="H18" s="13"/>
      <c r="J18" s="7">
        <v>6.97</v>
      </c>
      <c r="K18">
        <f t="shared" si="2"/>
        <v>5.1700000000000008</v>
      </c>
      <c r="L18">
        <v>5</v>
      </c>
      <c r="M18">
        <v>4.284490145672665</v>
      </c>
      <c r="N18">
        <f t="shared" si="4"/>
        <v>597.30561000000012</v>
      </c>
      <c r="O18" s="12">
        <f t="shared" si="3"/>
        <v>1142.1262285714288</v>
      </c>
      <c r="P18" s="5"/>
      <c r="Q18" s="13"/>
    </row>
    <row r="19" spans="1:21" ht="15.75" x14ac:dyDescent="0.25">
      <c r="A19" s="5">
        <v>16</v>
      </c>
      <c r="B19" s="5" t="s">
        <v>13</v>
      </c>
      <c r="C19">
        <v>10.38</v>
      </c>
      <c r="D19">
        <f t="shared" si="0"/>
        <v>1.7599999999999998</v>
      </c>
      <c r="E19">
        <v>5</v>
      </c>
      <c r="F19">
        <v>4.3215211754537597</v>
      </c>
      <c r="G19" s="11">
        <f t="shared" si="1"/>
        <v>201.59568000000002</v>
      </c>
      <c r="H19" s="15">
        <f t="shared" ref="H19" si="20">AVERAGE(G19:G21)</f>
        <v>213.65520000000004</v>
      </c>
      <c r="I19" s="16">
        <f t="shared" ref="I19" si="21">STDEV(G19:G21)/SQRT(3)</f>
        <v>10.436839585085137</v>
      </c>
      <c r="J19" s="7">
        <v>8.6199999999999992</v>
      </c>
      <c r="K19">
        <f t="shared" si="2"/>
        <v>3.5200000000000014</v>
      </c>
      <c r="L19">
        <v>5</v>
      </c>
      <c r="M19">
        <v>4.3215211754537597</v>
      </c>
      <c r="N19">
        <f t="shared" si="4"/>
        <v>403.19136000000009</v>
      </c>
      <c r="O19" s="12">
        <f t="shared" si="3"/>
        <v>575.98765714285742</v>
      </c>
      <c r="P19" s="5" t="s">
        <v>13</v>
      </c>
      <c r="Q19" s="13">
        <f>AVERAGE(O19:O21)</f>
        <v>541.55828571428583</v>
      </c>
      <c r="R19" s="16">
        <f t="shared" ref="R19" si="22">STDEV(O19:O21)/SQRT(3)</f>
        <v>85.88875151310566</v>
      </c>
      <c r="U19">
        <f t="shared" ref="U19" si="23">STDEV(O19:O21)/SQRT(3)</f>
        <v>85.88875151310566</v>
      </c>
    </row>
    <row r="20" spans="1:21" ht="15.75" x14ac:dyDescent="0.25">
      <c r="A20" s="5">
        <v>17</v>
      </c>
      <c r="B20" s="5" t="s">
        <v>13</v>
      </c>
      <c r="C20">
        <v>10.34</v>
      </c>
      <c r="D20">
        <f t="shared" si="0"/>
        <v>1.8000000000000007</v>
      </c>
      <c r="E20">
        <v>5</v>
      </c>
      <c r="F20">
        <v>4.3478260869565215</v>
      </c>
      <c r="G20" s="11">
        <f t="shared" si="1"/>
        <v>204.93000000000009</v>
      </c>
      <c r="H20" s="13"/>
      <c r="J20" s="7">
        <v>8.2799999999999994</v>
      </c>
      <c r="K20">
        <f t="shared" si="2"/>
        <v>3.8600000000000012</v>
      </c>
      <c r="L20">
        <v>5</v>
      </c>
      <c r="M20">
        <v>4.3478260869565215</v>
      </c>
      <c r="N20">
        <f t="shared" si="4"/>
        <v>439.46100000000013</v>
      </c>
      <c r="O20" s="12">
        <f t="shared" si="3"/>
        <v>670.08857142857153</v>
      </c>
      <c r="P20" s="5"/>
      <c r="Q20" s="13"/>
    </row>
    <row r="21" spans="1:21" ht="15.75" x14ac:dyDescent="0.25">
      <c r="A21" s="5">
        <v>18</v>
      </c>
      <c r="B21" s="5" t="s">
        <v>13</v>
      </c>
      <c r="C21">
        <v>10.07</v>
      </c>
      <c r="D21">
        <f t="shared" si="0"/>
        <v>2.0700000000000003</v>
      </c>
      <c r="E21">
        <v>5</v>
      </c>
      <c r="F21">
        <v>4.3706293706293708</v>
      </c>
      <c r="G21" s="11">
        <f t="shared" si="1"/>
        <v>234.43992000000006</v>
      </c>
      <c r="H21" s="13"/>
      <c r="J21" s="7">
        <v>8.9</v>
      </c>
      <c r="K21">
        <f t="shared" si="2"/>
        <v>3.24</v>
      </c>
      <c r="L21">
        <v>5</v>
      </c>
      <c r="M21">
        <v>4.3706293706293708</v>
      </c>
      <c r="N21">
        <f t="shared" si="4"/>
        <v>366.94943999999998</v>
      </c>
      <c r="O21" s="12">
        <f t="shared" si="3"/>
        <v>378.59862857142838</v>
      </c>
      <c r="P21" s="5"/>
      <c r="Q21" s="13"/>
    </row>
    <row r="22" spans="1:21" ht="15.75" x14ac:dyDescent="0.25">
      <c r="A22" s="5">
        <v>19</v>
      </c>
      <c r="B22" s="5" t="s">
        <v>14</v>
      </c>
      <c r="C22">
        <v>10.59</v>
      </c>
      <c r="D22">
        <f t="shared" si="0"/>
        <v>1.5500000000000007</v>
      </c>
      <c r="E22">
        <v>5</v>
      </c>
      <c r="F22">
        <v>4.3936731107205622</v>
      </c>
      <c r="G22" s="11">
        <f t="shared" si="1"/>
        <v>174.62610000000009</v>
      </c>
      <c r="H22" s="15">
        <f t="shared" ref="H22" si="24">AVERAGE(G22:G24)</f>
        <v>172.37286000000003</v>
      </c>
      <c r="I22" s="16">
        <f>STDEV(G22:G24)/SQRT(2)</f>
        <v>2.2532400000000621</v>
      </c>
      <c r="J22" s="7">
        <v>8.61</v>
      </c>
      <c r="K22">
        <f t="shared" si="2"/>
        <v>3.5300000000000011</v>
      </c>
      <c r="L22">
        <v>5</v>
      </c>
      <c r="M22">
        <v>4.3936731107205622</v>
      </c>
      <c r="N22">
        <f>K22*0.003*(0.033/M22)*(25/5)*100*1000*10</f>
        <v>397.69686000000013</v>
      </c>
      <c r="O22" s="12">
        <f t="shared" si="3"/>
        <v>637.34502857142866</v>
      </c>
      <c r="P22" s="5" t="s">
        <v>14</v>
      </c>
      <c r="Q22" s="13">
        <f>AVERAGE(O22:O24)</f>
        <v>651.83014285714307</v>
      </c>
      <c r="R22" s="16">
        <f>STDEV(O22:O24)/SQRT(2)</f>
        <v>14.485114285714415</v>
      </c>
      <c r="U22">
        <f>STDEV(O22,O24)/SQRT(2)</f>
        <v>14.485114285714415</v>
      </c>
    </row>
    <row r="23" spans="1:21" ht="15.75" x14ac:dyDescent="0.25">
      <c r="A23" s="5">
        <v>20</v>
      </c>
      <c r="B23" s="5" t="s">
        <v>14</v>
      </c>
      <c r="E23">
        <v>5</v>
      </c>
      <c r="G23" s="11"/>
      <c r="H23" s="13"/>
      <c r="J23" s="7"/>
      <c r="L23">
        <v>5</v>
      </c>
      <c r="O23" s="12"/>
      <c r="P23" s="5"/>
      <c r="Q23" s="13"/>
    </row>
    <row r="24" spans="1:21" ht="15.75" x14ac:dyDescent="0.25">
      <c r="A24" s="5">
        <v>21</v>
      </c>
      <c r="B24" s="5" t="s">
        <v>14</v>
      </c>
      <c r="C24">
        <v>10.63</v>
      </c>
      <c r="D24">
        <f t="shared" si="0"/>
        <v>1.5099999999999998</v>
      </c>
      <c r="E24">
        <v>5</v>
      </c>
      <c r="F24">
        <v>4.3936731107205622</v>
      </c>
      <c r="G24" s="11">
        <f t="shared" si="1"/>
        <v>170.11961999999997</v>
      </c>
      <c r="H24" s="13"/>
      <c r="J24" s="7">
        <v>8.56</v>
      </c>
      <c r="K24">
        <f t="shared" si="2"/>
        <v>3.58</v>
      </c>
      <c r="L24">
        <v>5</v>
      </c>
      <c r="M24">
        <v>4.3936731107205622</v>
      </c>
      <c r="N24">
        <f t="shared" si="4"/>
        <v>403.32996000000009</v>
      </c>
      <c r="O24" s="12">
        <f t="shared" si="3"/>
        <v>666.31525714285749</v>
      </c>
      <c r="P24" s="5"/>
      <c r="Q24" s="13"/>
    </row>
    <row r="25" spans="1:21" ht="15.75" x14ac:dyDescent="0.25">
      <c r="A25" s="5">
        <v>22</v>
      </c>
      <c r="B25" s="5" t="s">
        <v>15</v>
      </c>
      <c r="C25">
        <v>10.29</v>
      </c>
      <c r="D25">
        <f t="shared" si="0"/>
        <v>1.8500000000000014</v>
      </c>
      <c r="E25">
        <v>5</v>
      </c>
      <c r="F25">
        <v>4.3365134431916736</v>
      </c>
      <c r="G25" s="11">
        <f t="shared" si="1"/>
        <v>211.17195000000021</v>
      </c>
      <c r="H25" s="15">
        <f t="shared" ref="H25" si="25">AVERAGE(G25:G27)</f>
        <v>172.68193800000014</v>
      </c>
      <c r="I25" s="16">
        <f t="shared" ref="I25" si="26">STDEV(G25:G27)/SQRT(3)</f>
        <v>25.591706113978496</v>
      </c>
      <c r="J25" s="7">
        <v>7.54</v>
      </c>
      <c r="K25">
        <f t="shared" si="2"/>
        <v>4.6000000000000005</v>
      </c>
      <c r="L25">
        <v>5</v>
      </c>
      <c r="M25">
        <v>4.3365134431916736</v>
      </c>
      <c r="N25">
        <f t="shared" si="4"/>
        <v>525.07620000000009</v>
      </c>
      <c r="O25" s="12">
        <f t="shared" si="3"/>
        <v>896.86928571428541</v>
      </c>
      <c r="P25" s="5" t="s">
        <v>15</v>
      </c>
      <c r="Q25" s="13">
        <f>AVERAGE(O25:O27)</f>
        <v>975.26389714285722</v>
      </c>
      <c r="R25" s="16">
        <f t="shared" ref="R25" si="27">STDEV(O25:O27)/SQRT(3)</f>
        <v>48.773462658143146</v>
      </c>
      <c r="U25">
        <f t="shared" ref="U25" si="28">STDEV(O25:O27)/SQRT(3)</f>
        <v>48.773462658143146</v>
      </c>
    </row>
    <row r="26" spans="1:21" ht="15.75" x14ac:dyDescent="0.25">
      <c r="A26" s="5">
        <v>23</v>
      </c>
      <c r="B26" s="5" t="s">
        <v>15</v>
      </c>
      <c r="C26">
        <v>11.02</v>
      </c>
      <c r="D26">
        <f t="shared" si="0"/>
        <v>1.120000000000001</v>
      </c>
      <c r="E26">
        <v>5</v>
      </c>
      <c r="F26">
        <v>4.4630902436847268</v>
      </c>
      <c r="G26" s="11">
        <f t="shared" si="1"/>
        <v>124.21886400000014</v>
      </c>
      <c r="J26" s="7">
        <v>7.66</v>
      </c>
      <c r="K26">
        <f t="shared" si="2"/>
        <v>4.4800000000000004</v>
      </c>
      <c r="L26">
        <v>5</v>
      </c>
      <c r="M26">
        <v>4.4630902436847268</v>
      </c>
      <c r="N26">
        <f t="shared" si="4"/>
        <v>496.87545600000016</v>
      </c>
      <c r="O26" s="12">
        <f t="shared" si="3"/>
        <v>1064.7331200000001</v>
      </c>
      <c r="P26" s="5"/>
      <c r="Q26" s="13"/>
    </row>
    <row r="27" spans="1:21" ht="15.75" x14ac:dyDescent="0.25">
      <c r="A27" s="5">
        <v>24</v>
      </c>
      <c r="B27" s="5" t="s">
        <v>15</v>
      </c>
      <c r="C27">
        <v>10.5</v>
      </c>
      <c r="D27">
        <f t="shared" si="0"/>
        <v>1.6400000000000006</v>
      </c>
      <c r="E27">
        <v>5</v>
      </c>
      <c r="F27">
        <v>4.4444444444444446</v>
      </c>
      <c r="G27" s="11">
        <f t="shared" si="1"/>
        <v>182.65500000000006</v>
      </c>
      <c r="J27" s="4">
        <v>7.47</v>
      </c>
      <c r="K27">
        <f t="shared" si="2"/>
        <v>4.6700000000000008</v>
      </c>
      <c r="L27">
        <v>5</v>
      </c>
      <c r="M27">
        <v>4.4444444444444446</v>
      </c>
      <c r="N27">
        <f t="shared" si="4"/>
        <v>520.12125000000015</v>
      </c>
      <c r="O27" s="12">
        <f t="shared" si="3"/>
        <v>964.18928571428592</v>
      </c>
      <c r="P27" s="5"/>
      <c r="Q27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27"/>
  <sheetViews>
    <sheetView tabSelected="1" workbookViewId="0">
      <selection activeCell="M3" sqref="M3"/>
    </sheetView>
  </sheetViews>
  <sheetFormatPr defaultRowHeight="15" x14ac:dyDescent="0.25"/>
  <cols>
    <col min="12" max="12" width="15.28515625" customWidth="1"/>
  </cols>
  <sheetData>
    <row r="2" spans="1:18" x14ac:dyDescent="0.25">
      <c r="B2" t="s">
        <v>19</v>
      </c>
    </row>
    <row r="3" spans="1:18" x14ac:dyDescent="0.25">
      <c r="A3" s="60" t="s">
        <v>0</v>
      </c>
      <c r="B3" s="60"/>
      <c r="C3" t="s">
        <v>1</v>
      </c>
      <c r="D3" t="s">
        <v>2</v>
      </c>
      <c r="E3" t="s">
        <v>40</v>
      </c>
      <c r="F3" t="s">
        <v>41</v>
      </c>
      <c r="G3" t="s">
        <v>42</v>
      </c>
      <c r="H3" t="s">
        <v>3</v>
      </c>
      <c r="I3" t="s">
        <v>4</v>
      </c>
      <c r="J3" t="s">
        <v>5</v>
      </c>
      <c r="K3" t="s">
        <v>6</v>
      </c>
      <c r="L3" t="s">
        <v>16</v>
      </c>
      <c r="M3" t="s">
        <v>45</v>
      </c>
      <c r="N3" t="s">
        <v>17</v>
      </c>
      <c r="P3" t="s">
        <v>43</v>
      </c>
      <c r="R3" t="s">
        <v>18</v>
      </c>
    </row>
    <row r="4" spans="1:18" x14ac:dyDescent="0.25">
      <c r="A4">
        <v>1</v>
      </c>
      <c r="B4" t="s">
        <v>7</v>
      </c>
      <c r="C4">
        <f>AVERAGE(R4:R6)</f>
        <v>12.07</v>
      </c>
      <c r="D4">
        <v>10.59</v>
      </c>
      <c r="E4">
        <v>5</v>
      </c>
      <c r="F4">
        <v>15.540540540540544</v>
      </c>
      <c r="G4">
        <f>(100*E4)/(100+F4)</f>
        <v>4.3274853801169586</v>
      </c>
      <c r="H4">
        <v>25</v>
      </c>
      <c r="I4">
        <v>4</v>
      </c>
      <c r="J4">
        <f>($C$4-D4)*0.003*(0.033)*(H4/I4)</f>
        <v>9.1575000000000033E-4</v>
      </c>
      <c r="K4">
        <f>J4*1000</f>
        <v>0.91575000000000029</v>
      </c>
      <c r="L4" s="1">
        <f>((K4*(H4+E4-G4))/G4)*100</f>
        <v>543.26250000000039</v>
      </c>
      <c r="M4" t="s">
        <v>8</v>
      </c>
      <c r="N4">
        <f>AVERAGE(L4:L6)</f>
        <v>511.50047243926383</v>
      </c>
      <c r="P4">
        <f>STDEV(L4:L6)/SQRT(3)</f>
        <v>32.162453283677543</v>
      </c>
      <c r="R4">
        <v>12.21</v>
      </c>
    </row>
    <row r="5" spans="1:18" x14ac:dyDescent="0.25">
      <c r="A5">
        <v>2</v>
      </c>
      <c r="B5" t="s">
        <v>7</v>
      </c>
      <c r="D5">
        <v>10.85</v>
      </c>
      <c r="E5">
        <v>5</v>
      </c>
      <c r="F5">
        <v>15.397631133671741</v>
      </c>
      <c r="G5">
        <f>(100*E5)/(100+F5)</f>
        <v>4.3328445747800588</v>
      </c>
      <c r="H5">
        <v>25</v>
      </c>
      <c r="I5">
        <v>4</v>
      </c>
      <c r="J5">
        <f t="shared" ref="J5:J27" si="0">($C$4-D5)*0.003*(0.033)*(H5/I5)</f>
        <v>7.5487500000000034E-4</v>
      </c>
      <c r="K5">
        <f>J5*1000</f>
        <v>0.7548750000000003</v>
      </c>
      <c r="L5" s="1">
        <f t="shared" ref="L5:L27" si="1">((K5*(H5+E5-G5))/G5)*100</f>
        <v>447.1772208121829</v>
      </c>
      <c r="M5" t="s">
        <v>8</v>
      </c>
      <c r="R5">
        <v>12</v>
      </c>
    </row>
    <row r="6" spans="1:18" x14ac:dyDescent="0.25">
      <c r="A6">
        <v>3</v>
      </c>
      <c r="B6" t="s">
        <v>8</v>
      </c>
      <c r="D6">
        <v>10.56</v>
      </c>
      <c r="E6">
        <v>5</v>
      </c>
      <c r="F6">
        <v>13.718723037100949</v>
      </c>
      <c r="G6">
        <f>(100*E6)/(100+F6)</f>
        <v>4.3968133535660092</v>
      </c>
      <c r="H6">
        <v>25</v>
      </c>
      <c r="I6">
        <v>4</v>
      </c>
      <c r="J6">
        <f t="shared" si="0"/>
        <v>9.3431249999999992E-4</v>
      </c>
      <c r="K6">
        <f>J6*1000</f>
        <v>0.93431249999999988</v>
      </c>
      <c r="L6" s="1">
        <f t="shared" si="1"/>
        <v>544.06169650560821</v>
      </c>
      <c r="M6" t="s">
        <v>8</v>
      </c>
      <c r="R6">
        <v>12</v>
      </c>
    </row>
    <row r="7" spans="1:18" x14ac:dyDescent="0.25">
      <c r="A7">
        <v>4</v>
      </c>
      <c r="B7" t="s">
        <v>9</v>
      </c>
      <c r="D7">
        <v>11.02</v>
      </c>
      <c r="E7">
        <v>5</v>
      </c>
      <c r="F7">
        <v>13.793103448275854</v>
      </c>
      <c r="G7">
        <f>(100*E7)/(100+F7)</f>
        <v>4.3939393939393945</v>
      </c>
      <c r="H7">
        <v>25</v>
      </c>
      <c r="I7">
        <v>4</v>
      </c>
      <c r="J7">
        <f t="shared" si="0"/>
        <v>6.4968750000000042E-4</v>
      </c>
      <c r="K7">
        <f>J7*1000</f>
        <v>0.64968750000000042</v>
      </c>
      <c r="L7" s="1">
        <f t="shared" si="1"/>
        <v>378.61099137931052</v>
      </c>
      <c r="M7" t="s">
        <v>9</v>
      </c>
      <c r="N7">
        <f t="shared" ref="N7:N19" si="2">AVERAGE(L7:L9)</f>
        <v>386.88292845945011</v>
      </c>
      <c r="P7">
        <f t="shared" ref="P7" si="3">STDEV(L7:L9)/SQRT(3)</f>
        <v>4.2418250727384805</v>
      </c>
    </row>
    <row r="8" spans="1:18" x14ac:dyDescent="0.25">
      <c r="A8">
        <v>5</v>
      </c>
      <c r="B8" t="s">
        <v>9</v>
      </c>
      <c r="D8">
        <v>10.97</v>
      </c>
      <c r="E8">
        <v>5</v>
      </c>
      <c r="F8">
        <v>12.816041848299909</v>
      </c>
      <c r="G8">
        <f t="shared" ref="G8:G27" si="4">(100*E8)/(100+F8)</f>
        <v>4.4319938176197837</v>
      </c>
      <c r="H8">
        <v>25</v>
      </c>
      <c r="I8">
        <v>4</v>
      </c>
      <c r="J8">
        <f t="shared" si="0"/>
        <v>6.8062499999999981E-4</v>
      </c>
      <c r="K8">
        <f t="shared" ref="K8:K25" si="5">J8*1000</f>
        <v>0.68062499999999981</v>
      </c>
      <c r="L8" s="1">
        <f t="shared" si="1"/>
        <v>392.6500108979946</v>
      </c>
      <c r="M8" t="s">
        <v>9</v>
      </c>
    </row>
    <row r="9" spans="1:18" x14ac:dyDescent="0.25">
      <c r="A9">
        <v>6</v>
      </c>
      <c r="B9" t="s">
        <v>9</v>
      </c>
      <c r="D9">
        <v>10.98</v>
      </c>
      <c r="E9">
        <v>5</v>
      </c>
      <c r="F9">
        <v>12.891986062717766</v>
      </c>
      <c r="G9">
        <f t="shared" si="4"/>
        <v>4.4290123456790127</v>
      </c>
      <c r="H9">
        <v>25</v>
      </c>
      <c r="I9">
        <v>4</v>
      </c>
      <c r="J9">
        <f t="shared" si="0"/>
        <v>6.7443749999999991E-4</v>
      </c>
      <c r="K9">
        <f t="shared" si="5"/>
        <v>0.67443749999999991</v>
      </c>
      <c r="L9" s="1">
        <f t="shared" si="1"/>
        <v>389.38778310104516</v>
      </c>
      <c r="M9" t="s">
        <v>9</v>
      </c>
    </row>
    <row r="10" spans="1:18" x14ac:dyDescent="0.25">
      <c r="A10">
        <v>7</v>
      </c>
      <c r="B10" t="s">
        <v>10</v>
      </c>
      <c r="D10">
        <v>10.55</v>
      </c>
      <c r="E10">
        <v>5</v>
      </c>
      <c r="F10">
        <v>13.569576490924806</v>
      </c>
      <c r="G10">
        <f t="shared" si="4"/>
        <v>4.4025875190258752</v>
      </c>
      <c r="H10">
        <v>25</v>
      </c>
      <c r="I10">
        <v>4</v>
      </c>
      <c r="J10">
        <f t="shared" si="0"/>
        <v>9.4049999999999993E-4</v>
      </c>
      <c r="K10">
        <f t="shared" si="5"/>
        <v>0.94049999999999989</v>
      </c>
      <c r="L10" s="1">
        <f t="shared" si="1"/>
        <v>546.82312013828857</v>
      </c>
      <c r="M10" t="s">
        <v>10</v>
      </c>
      <c r="N10">
        <f t="shared" si="2"/>
        <v>555.87283127022101</v>
      </c>
      <c r="P10">
        <f t="shared" ref="P10" si="6">STDEV(L10:L12)/SQRT(3)</f>
        <v>8.0819647468016118</v>
      </c>
    </row>
    <row r="11" spans="1:18" x14ac:dyDescent="0.25">
      <c r="A11">
        <v>8</v>
      </c>
      <c r="B11" t="s">
        <v>10</v>
      </c>
      <c r="D11">
        <v>10.51</v>
      </c>
      <c r="E11">
        <v>5</v>
      </c>
      <c r="F11">
        <v>11.426040744021257</v>
      </c>
      <c r="G11">
        <f t="shared" si="4"/>
        <v>4.4872813990461049</v>
      </c>
      <c r="H11">
        <v>25</v>
      </c>
      <c r="I11">
        <v>4</v>
      </c>
      <c r="J11">
        <f t="shared" si="0"/>
        <v>9.652500000000005E-4</v>
      </c>
      <c r="K11">
        <f t="shared" si="5"/>
        <v>0.9652500000000005</v>
      </c>
      <c r="L11" s="1">
        <f t="shared" si="1"/>
        <v>548.7989149689995</v>
      </c>
      <c r="M11" t="s">
        <v>10</v>
      </c>
    </row>
    <row r="12" spans="1:18" x14ac:dyDescent="0.25">
      <c r="A12">
        <v>9</v>
      </c>
      <c r="B12" t="s">
        <v>10</v>
      </c>
      <c r="D12">
        <v>10.44</v>
      </c>
      <c r="E12">
        <v>5</v>
      </c>
      <c r="F12">
        <v>11.190053285968027</v>
      </c>
      <c r="G12">
        <f t="shared" si="4"/>
        <v>4.4968051118210868</v>
      </c>
      <c r="H12">
        <v>25</v>
      </c>
      <c r="I12">
        <v>4</v>
      </c>
      <c r="J12">
        <f t="shared" si="0"/>
        <v>1.0085625000000006E-3</v>
      </c>
      <c r="K12">
        <f t="shared" si="5"/>
        <v>1.0085625000000005</v>
      </c>
      <c r="L12" s="1">
        <f t="shared" si="1"/>
        <v>571.99645870337497</v>
      </c>
      <c r="M12" t="s">
        <v>10</v>
      </c>
    </row>
    <row r="13" spans="1:18" x14ac:dyDescent="0.25">
      <c r="A13">
        <v>10</v>
      </c>
      <c r="B13" t="s">
        <v>11</v>
      </c>
      <c r="D13">
        <v>9.81</v>
      </c>
      <c r="E13">
        <v>5</v>
      </c>
      <c r="F13">
        <v>12.891986062717766</v>
      </c>
      <c r="G13">
        <f t="shared" si="4"/>
        <v>4.4290123456790127</v>
      </c>
      <c r="H13">
        <v>25</v>
      </c>
      <c r="I13">
        <v>4</v>
      </c>
      <c r="J13">
        <f t="shared" si="0"/>
        <v>1.3983749999999999E-3</v>
      </c>
      <c r="K13">
        <f t="shared" si="5"/>
        <v>1.3983749999999999</v>
      </c>
      <c r="L13" s="1">
        <f t="shared" si="1"/>
        <v>807.35448606271746</v>
      </c>
      <c r="M13" t="s">
        <v>11</v>
      </c>
      <c r="N13">
        <f t="shared" si="2"/>
        <v>902.53459815846509</v>
      </c>
      <c r="P13">
        <f t="shared" ref="P13" si="7">STDEV(L13:L15)/SQRT(3)</f>
        <v>50.946749341815377</v>
      </c>
    </row>
    <row r="14" spans="1:18" x14ac:dyDescent="0.25">
      <c r="A14">
        <v>11</v>
      </c>
      <c r="B14" t="s">
        <v>11</v>
      </c>
      <c r="D14">
        <v>9.48</v>
      </c>
      <c r="E14">
        <v>5</v>
      </c>
      <c r="F14">
        <v>12.203687445127311</v>
      </c>
      <c r="G14">
        <f t="shared" si="4"/>
        <v>4.4561815336463217</v>
      </c>
      <c r="H14">
        <v>25</v>
      </c>
      <c r="I14">
        <v>4</v>
      </c>
      <c r="J14">
        <f t="shared" si="0"/>
        <v>1.6025625E-3</v>
      </c>
      <c r="K14">
        <f t="shared" si="5"/>
        <v>1.6025625000000001</v>
      </c>
      <c r="L14" s="1">
        <f t="shared" si="1"/>
        <v>918.62428116769104</v>
      </c>
      <c r="M14" t="s">
        <v>11</v>
      </c>
    </row>
    <row r="15" spans="1:18" x14ac:dyDescent="0.25">
      <c r="A15">
        <v>12</v>
      </c>
      <c r="B15" t="s">
        <v>11</v>
      </c>
      <c r="D15">
        <v>9.32</v>
      </c>
      <c r="E15">
        <v>5</v>
      </c>
      <c r="F15">
        <v>12.816041848299909</v>
      </c>
      <c r="G15">
        <f t="shared" si="4"/>
        <v>4.4319938176197837</v>
      </c>
      <c r="H15">
        <v>25</v>
      </c>
      <c r="I15">
        <v>4</v>
      </c>
      <c r="J15">
        <f t="shared" si="0"/>
        <v>1.7015625000000002E-3</v>
      </c>
      <c r="K15">
        <f t="shared" si="5"/>
        <v>1.7015625000000001</v>
      </c>
      <c r="L15" s="1">
        <f t="shared" si="1"/>
        <v>981.62502724498688</v>
      </c>
      <c r="M15" t="s">
        <v>11</v>
      </c>
    </row>
    <row r="16" spans="1:18" x14ac:dyDescent="0.25">
      <c r="A16">
        <v>13</v>
      </c>
      <c r="B16" t="s">
        <v>12</v>
      </c>
      <c r="D16">
        <v>10.07</v>
      </c>
      <c r="E16">
        <v>5</v>
      </c>
      <c r="F16">
        <v>12.967798085291554</v>
      </c>
      <c r="G16">
        <f t="shared" si="4"/>
        <v>4.426040061633282</v>
      </c>
      <c r="H16">
        <v>25</v>
      </c>
      <c r="I16">
        <v>4</v>
      </c>
      <c r="J16">
        <f t="shared" si="0"/>
        <v>1.2375000000000001E-3</v>
      </c>
      <c r="K16">
        <f t="shared" si="5"/>
        <v>1.2375</v>
      </c>
      <c r="L16" s="1">
        <f t="shared" si="1"/>
        <v>715.03590078328989</v>
      </c>
      <c r="M16" t="s">
        <v>12</v>
      </c>
      <c r="N16">
        <f t="shared" si="2"/>
        <v>637.20790268718918</v>
      </c>
      <c r="P16">
        <f t="shared" ref="P16" si="8">STDEV(L16:L18)/SQRT(3)</f>
        <v>38.914117428278779</v>
      </c>
    </row>
    <row r="17" spans="1:16" x14ac:dyDescent="0.25">
      <c r="A17">
        <v>14</v>
      </c>
      <c r="B17" t="s">
        <v>12</v>
      </c>
      <c r="D17">
        <v>10.4</v>
      </c>
      <c r="E17">
        <v>5</v>
      </c>
      <c r="F17">
        <v>13.194444444444446</v>
      </c>
      <c r="G17">
        <f t="shared" si="4"/>
        <v>4.4171779141104297</v>
      </c>
      <c r="H17">
        <v>25</v>
      </c>
      <c r="I17">
        <v>4</v>
      </c>
      <c r="J17">
        <f t="shared" si="0"/>
        <v>1.0333124999999999E-3</v>
      </c>
      <c r="K17">
        <f t="shared" si="5"/>
        <v>1.0333124999999999</v>
      </c>
      <c r="L17" s="1">
        <f t="shared" si="1"/>
        <v>598.46015624999995</v>
      </c>
      <c r="M17" t="s">
        <v>12</v>
      </c>
    </row>
    <row r="18" spans="1:16" x14ac:dyDescent="0.25">
      <c r="A18">
        <v>15</v>
      </c>
      <c r="B18" t="s">
        <v>12</v>
      </c>
      <c r="D18">
        <v>10.42</v>
      </c>
      <c r="E18">
        <v>5</v>
      </c>
      <c r="F18">
        <v>14.310197086546703</v>
      </c>
      <c r="G18">
        <f t="shared" si="4"/>
        <v>4.3740629685157417</v>
      </c>
      <c r="H18">
        <v>25</v>
      </c>
      <c r="I18">
        <v>4</v>
      </c>
      <c r="J18">
        <f t="shared" si="0"/>
        <v>1.0209375000000001E-3</v>
      </c>
      <c r="K18">
        <f t="shared" si="5"/>
        <v>1.0209375000000001</v>
      </c>
      <c r="L18" s="1">
        <f t="shared" si="1"/>
        <v>598.12765102827768</v>
      </c>
      <c r="M18" t="s">
        <v>12</v>
      </c>
    </row>
    <row r="19" spans="1:16" x14ac:dyDescent="0.25">
      <c r="A19">
        <v>16</v>
      </c>
      <c r="B19" t="s">
        <v>13</v>
      </c>
      <c r="D19">
        <v>9.2799999999999994</v>
      </c>
      <c r="E19">
        <v>5</v>
      </c>
      <c r="F19">
        <v>13.569576490924806</v>
      </c>
      <c r="G19">
        <f t="shared" si="4"/>
        <v>4.4025875190258752</v>
      </c>
      <c r="H19">
        <v>25</v>
      </c>
      <c r="I19">
        <v>4</v>
      </c>
      <c r="J19">
        <f t="shared" si="0"/>
        <v>1.7263125000000006E-3</v>
      </c>
      <c r="K19">
        <f t="shared" si="5"/>
        <v>1.7263125000000006</v>
      </c>
      <c r="L19" s="1">
        <f t="shared" si="1"/>
        <v>1003.7082270959381</v>
      </c>
      <c r="M19" t="s">
        <v>13</v>
      </c>
      <c r="N19">
        <f t="shared" si="2"/>
        <v>702.30086806207976</v>
      </c>
      <c r="P19">
        <f t="shared" ref="P19" si="9">STDEV(L19:L21)/SQRT(3)</f>
        <v>153.01861111557554</v>
      </c>
    </row>
    <row r="20" spans="1:16" x14ac:dyDescent="0.25">
      <c r="A20">
        <v>17</v>
      </c>
      <c r="B20" t="s">
        <v>13</v>
      </c>
      <c r="D20">
        <v>10.4</v>
      </c>
      <c r="E20">
        <v>5</v>
      </c>
      <c r="F20">
        <v>13.043478260869568</v>
      </c>
      <c r="G20">
        <f t="shared" si="4"/>
        <v>4.4230769230769234</v>
      </c>
      <c r="H20">
        <v>25</v>
      </c>
      <c r="I20">
        <v>4</v>
      </c>
      <c r="J20">
        <f t="shared" si="0"/>
        <v>1.0333124999999999E-3</v>
      </c>
      <c r="K20">
        <f t="shared" si="5"/>
        <v>1.0333124999999999</v>
      </c>
      <c r="L20" s="1">
        <f t="shared" si="1"/>
        <v>597.52418478260859</v>
      </c>
      <c r="M20" t="s">
        <v>13</v>
      </c>
    </row>
    <row r="21" spans="1:16" x14ac:dyDescent="0.25">
      <c r="A21">
        <v>18</v>
      </c>
      <c r="B21" t="s">
        <v>13</v>
      </c>
      <c r="D21">
        <v>10.65</v>
      </c>
      <c r="E21">
        <v>5</v>
      </c>
      <c r="F21">
        <v>12.587412587412583</v>
      </c>
      <c r="G21">
        <f>(100*E21)/(100+F21)</f>
        <v>4.4409937888198758</v>
      </c>
      <c r="H21">
        <v>25</v>
      </c>
      <c r="I21">
        <v>4</v>
      </c>
      <c r="J21">
        <f>($C$4-D21)*0.003*(0.033)*(H21/I21)</f>
        <v>8.7862500000000007E-4</v>
      </c>
      <c r="K21">
        <f t="shared" si="5"/>
        <v>0.8786250000000001</v>
      </c>
      <c r="L21" s="1">
        <f t="shared" si="1"/>
        <v>505.67019230769239</v>
      </c>
      <c r="M21" t="s">
        <v>13</v>
      </c>
    </row>
    <row r="22" spans="1:16" x14ac:dyDescent="0.25">
      <c r="A22">
        <v>19</v>
      </c>
      <c r="B22" t="s">
        <v>14</v>
      </c>
      <c r="D22">
        <v>10.08</v>
      </c>
      <c r="E22">
        <v>5</v>
      </c>
      <c r="F22">
        <v>12.126537785588756</v>
      </c>
      <c r="G22">
        <f t="shared" si="4"/>
        <v>4.4592476489028217</v>
      </c>
      <c r="H22">
        <v>25</v>
      </c>
      <c r="I22">
        <v>4</v>
      </c>
      <c r="J22">
        <f t="shared" si="0"/>
        <v>1.2313125E-3</v>
      </c>
      <c r="K22">
        <f t="shared" si="5"/>
        <v>1.2313125</v>
      </c>
      <c r="L22" s="1">
        <f t="shared" si="1"/>
        <v>705.24559534270657</v>
      </c>
      <c r="M22" t="s">
        <v>14</v>
      </c>
      <c r="N22">
        <f>AVERAGE(L23:L24)</f>
        <v>676.89401362038666</v>
      </c>
      <c r="P22">
        <f>STDEV(L22,L24)/SQRT(2)</f>
        <v>14.175790861159953</v>
      </c>
    </row>
    <row r="23" spans="1:16" x14ac:dyDescent="0.25">
      <c r="A23">
        <v>20</v>
      </c>
      <c r="B23" t="s">
        <v>14</v>
      </c>
      <c r="M23" t="s">
        <v>14</v>
      </c>
    </row>
    <row r="24" spans="1:16" x14ac:dyDescent="0.25">
      <c r="A24">
        <v>21</v>
      </c>
      <c r="B24" t="s">
        <v>14</v>
      </c>
      <c r="D24">
        <v>10.16</v>
      </c>
      <c r="E24">
        <v>5</v>
      </c>
      <c r="F24">
        <v>12.126537785588756</v>
      </c>
      <c r="G24">
        <f t="shared" si="4"/>
        <v>4.4592476489028217</v>
      </c>
      <c r="H24">
        <v>25</v>
      </c>
      <c r="I24">
        <v>4</v>
      </c>
      <c r="J24">
        <f t="shared" si="0"/>
        <v>1.1818125000000001E-3</v>
      </c>
      <c r="K24">
        <f t="shared" si="5"/>
        <v>1.1818125000000002</v>
      </c>
      <c r="L24" s="1">
        <f t="shared" si="1"/>
        <v>676.89401362038666</v>
      </c>
      <c r="M24" t="s">
        <v>14</v>
      </c>
    </row>
    <row r="25" spans="1:16" x14ac:dyDescent="0.25">
      <c r="A25">
        <v>22</v>
      </c>
      <c r="B25" t="s">
        <v>15</v>
      </c>
      <c r="D25">
        <v>10.27</v>
      </c>
      <c r="E25">
        <v>5</v>
      </c>
      <c r="F25">
        <v>13.269731136166527</v>
      </c>
      <c r="G25">
        <f t="shared" si="4"/>
        <v>4.4142419601837668</v>
      </c>
      <c r="H25">
        <v>25</v>
      </c>
      <c r="I25">
        <v>4</v>
      </c>
      <c r="J25">
        <f t="shared" si="0"/>
        <v>1.1137500000000004E-3</v>
      </c>
      <c r="K25">
        <f t="shared" si="5"/>
        <v>1.1137500000000005</v>
      </c>
      <c r="L25" s="1">
        <f t="shared" si="1"/>
        <v>645.5499783174331</v>
      </c>
      <c r="M25" t="s">
        <v>15</v>
      </c>
      <c r="N25">
        <f>AVERAGE(L25,L27)</f>
        <v>650.60936415871674</v>
      </c>
      <c r="P25">
        <f t="shared" ref="P25" si="10">STDEV(L25:L27)/SQRT(3)</f>
        <v>4.8192070246206899</v>
      </c>
    </row>
    <row r="26" spans="1:16" x14ac:dyDescent="0.25">
      <c r="A26">
        <v>23</v>
      </c>
      <c r="B26" t="s">
        <v>15</v>
      </c>
      <c r="D26">
        <v>10.24</v>
      </c>
      <c r="E26">
        <v>5</v>
      </c>
      <c r="F26">
        <v>10.738195126305463</v>
      </c>
      <c r="G26">
        <f t="shared" si="4"/>
        <v>4.5151539577623723</v>
      </c>
      <c r="H26">
        <v>25</v>
      </c>
      <c r="I26">
        <v>4</v>
      </c>
      <c r="J26">
        <f t="shared" si="0"/>
        <v>1.1323125000000001E-3</v>
      </c>
      <c r="K26">
        <f>J26*1000</f>
        <v>1.1323125000000001</v>
      </c>
      <c r="L26" s="1">
        <f t="shared" si="1"/>
        <v>639.11020541372864</v>
      </c>
      <c r="M26" t="s">
        <v>15</v>
      </c>
    </row>
    <row r="27" spans="1:16" x14ac:dyDescent="0.25">
      <c r="A27">
        <v>24</v>
      </c>
      <c r="B27" t="s">
        <v>15</v>
      </c>
      <c r="D27">
        <v>10.199999999999999</v>
      </c>
      <c r="E27">
        <v>5</v>
      </c>
      <c r="F27">
        <v>11.111111111111107</v>
      </c>
      <c r="G27">
        <f t="shared" si="4"/>
        <v>4.5</v>
      </c>
      <c r="H27">
        <v>25</v>
      </c>
      <c r="I27">
        <v>4</v>
      </c>
      <c r="J27">
        <f t="shared" si="0"/>
        <v>1.1570625000000008E-3</v>
      </c>
      <c r="K27">
        <f>J27*1000</f>
        <v>1.1570625000000008</v>
      </c>
      <c r="L27" s="1">
        <f t="shared" si="1"/>
        <v>655.66875000000039</v>
      </c>
      <c r="M27" t="s">
        <v>15</v>
      </c>
    </row>
  </sheetData>
  <mergeCells count="1"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7"/>
  <sheetViews>
    <sheetView topLeftCell="A2" zoomScale="84" zoomScaleNormal="84" workbookViewId="0">
      <selection activeCell="C5" sqref="C5"/>
    </sheetView>
  </sheetViews>
  <sheetFormatPr defaultRowHeight="15" x14ac:dyDescent="0.25"/>
  <sheetData>
    <row r="2" spans="1:10" s="2" customFormat="1" x14ac:dyDescent="0.25">
      <c r="C2" s="2" t="s">
        <v>28</v>
      </c>
    </row>
    <row r="3" spans="1:10" x14ac:dyDescent="0.25">
      <c r="A3" s="2"/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</row>
    <row r="4" spans="1:10" x14ac:dyDescent="0.25">
      <c r="A4" t="s">
        <v>7</v>
      </c>
      <c r="C4">
        <v>5</v>
      </c>
      <c r="D4">
        <v>4.2229729729729728</v>
      </c>
      <c r="E4">
        <f>C4-D4</f>
        <v>0.7770270270270272</v>
      </c>
      <c r="F4" s="3">
        <f>100*E4/C4</f>
        <v>15.540540540540544</v>
      </c>
      <c r="G4" s="1">
        <f>(C4-D4)/D4</f>
        <v>0.18400000000000005</v>
      </c>
      <c r="H4" s="1">
        <f>1/(G4+1)</f>
        <v>0.84459459459459452</v>
      </c>
      <c r="I4" s="1">
        <f>10/(G4+1)</f>
        <v>8.4459459459459456</v>
      </c>
      <c r="J4" s="1">
        <f>H4*5</f>
        <v>4.2229729729729728</v>
      </c>
    </row>
    <row r="5" spans="1:10" x14ac:dyDescent="0.25">
      <c r="A5" t="s">
        <v>7</v>
      </c>
      <c r="C5">
        <v>5</v>
      </c>
      <c r="D5">
        <v>4.230118443316413</v>
      </c>
      <c r="E5">
        <f t="shared" ref="E5:E27" si="0">C5-D5</f>
        <v>0.76988155668358704</v>
      </c>
      <c r="F5" s="3">
        <f t="shared" ref="F5:F27" si="1">100*E5/C5</f>
        <v>15.397631133671741</v>
      </c>
      <c r="G5" s="1">
        <f t="shared" ref="G5:G27" si="2">(C5-D5)/D5</f>
        <v>0.18199999999999997</v>
      </c>
      <c r="H5" s="1">
        <f t="shared" ref="H5:H27" si="3">1/(G5+1)</f>
        <v>0.84602368866328259</v>
      </c>
      <c r="I5" s="1">
        <f t="shared" ref="I5:I27" si="4">10/(G5+1)</f>
        <v>8.4602368866328259</v>
      </c>
      <c r="J5" s="1">
        <f t="shared" ref="J5:J27" si="5">H5*5</f>
        <v>4.230118443316413</v>
      </c>
    </row>
    <row r="6" spans="1:10" x14ac:dyDescent="0.25">
      <c r="A6" t="s">
        <v>8</v>
      </c>
      <c r="C6">
        <v>5</v>
      </c>
      <c r="D6">
        <v>4.3140638481449525</v>
      </c>
      <c r="E6">
        <f t="shared" si="0"/>
        <v>0.68593615185504753</v>
      </c>
      <c r="F6" s="3">
        <f t="shared" si="1"/>
        <v>13.718723037100949</v>
      </c>
      <c r="G6" s="1">
        <f t="shared" si="2"/>
        <v>0.15900000000000003</v>
      </c>
      <c r="H6" s="1">
        <f t="shared" si="3"/>
        <v>0.86281276962899045</v>
      </c>
      <c r="I6" s="1">
        <f t="shared" si="4"/>
        <v>8.6281276962899049</v>
      </c>
      <c r="J6" s="1">
        <f t="shared" si="5"/>
        <v>4.3140638481449525</v>
      </c>
    </row>
    <row r="7" spans="1:10" x14ac:dyDescent="0.25">
      <c r="A7" t="s">
        <v>9</v>
      </c>
      <c r="C7">
        <v>5</v>
      </c>
      <c r="D7">
        <v>4.3103448275862073</v>
      </c>
      <c r="E7">
        <f t="shared" si="0"/>
        <v>0.68965517241379271</v>
      </c>
      <c r="F7" s="3">
        <f t="shared" si="1"/>
        <v>13.793103448275854</v>
      </c>
      <c r="G7" s="1">
        <f t="shared" si="2"/>
        <v>0.15999999999999989</v>
      </c>
      <c r="H7" s="1">
        <f t="shared" si="3"/>
        <v>0.86206896551724144</v>
      </c>
      <c r="I7" s="1">
        <f t="shared" si="4"/>
        <v>8.6206896551724146</v>
      </c>
      <c r="J7" s="1">
        <f t="shared" si="5"/>
        <v>4.3103448275862073</v>
      </c>
    </row>
    <row r="8" spans="1:10" x14ac:dyDescent="0.25">
      <c r="A8" t="s">
        <v>9</v>
      </c>
      <c r="C8">
        <v>5</v>
      </c>
      <c r="D8">
        <v>4.3591979075850045</v>
      </c>
      <c r="E8">
        <f t="shared" si="0"/>
        <v>0.64080209241499553</v>
      </c>
      <c r="F8" s="3">
        <f t="shared" si="1"/>
        <v>12.816041848299909</v>
      </c>
      <c r="G8" s="1">
        <f t="shared" si="2"/>
        <v>0.14699999999999996</v>
      </c>
      <c r="H8" s="1">
        <f t="shared" si="3"/>
        <v>0.87183958151700081</v>
      </c>
      <c r="I8" s="1">
        <f t="shared" si="4"/>
        <v>8.7183958151700089</v>
      </c>
      <c r="J8" s="1">
        <f t="shared" si="5"/>
        <v>4.3591979075850045</v>
      </c>
    </row>
    <row r="9" spans="1:10" x14ac:dyDescent="0.25">
      <c r="A9" t="s">
        <v>9</v>
      </c>
      <c r="C9">
        <v>5</v>
      </c>
      <c r="D9">
        <v>4.3554006968641117</v>
      </c>
      <c r="E9">
        <f t="shared" si="0"/>
        <v>0.64459930313588831</v>
      </c>
      <c r="F9" s="3">
        <f t="shared" si="1"/>
        <v>12.891986062717766</v>
      </c>
      <c r="G9" s="1">
        <f t="shared" si="2"/>
        <v>0.14799999999999994</v>
      </c>
      <c r="H9" s="1">
        <f t="shared" si="3"/>
        <v>0.87108013937282236</v>
      </c>
      <c r="I9" s="1">
        <f t="shared" si="4"/>
        <v>8.7108013937282234</v>
      </c>
      <c r="J9" s="1">
        <f t="shared" si="5"/>
        <v>4.3554006968641117</v>
      </c>
    </row>
    <row r="10" spans="1:10" x14ac:dyDescent="0.25">
      <c r="A10" t="s">
        <v>10</v>
      </c>
      <c r="C10">
        <v>5</v>
      </c>
      <c r="D10">
        <v>4.3215211754537597</v>
      </c>
      <c r="E10">
        <f t="shared" si="0"/>
        <v>0.67847882454624031</v>
      </c>
      <c r="F10" s="3">
        <f t="shared" si="1"/>
        <v>13.569576490924806</v>
      </c>
      <c r="G10" s="1">
        <f t="shared" si="2"/>
        <v>0.157</v>
      </c>
      <c r="H10" s="1">
        <f t="shared" si="3"/>
        <v>0.86430423509075194</v>
      </c>
      <c r="I10" s="1">
        <f t="shared" si="4"/>
        <v>8.6430423509075194</v>
      </c>
      <c r="J10" s="1">
        <f t="shared" si="5"/>
        <v>4.3215211754537597</v>
      </c>
    </row>
    <row r="11" spans="1:10" x14ac:dyDescent="0.25">
      <c r="A11" t="s">
        <v>10</v>
      </c>
      <c r="C11">
        <v>5</v>
      </c>
      <c r="D11">
        <v>4.4286979627989371</v>
      </c>
      <c r="E11">
        <f t="shared" si="0"/>
        <v>0.57130203720106287</v>
      </c>
      <c r="F11" s="3">
        <f t="shared" si="1"/>
        <v>11.426040744021257</v>
      </c>
      <c r="G11" s="1">
        <f t="shared" si="2"/>
        <v>0.129</v>
      </c>
      <c r="H11" s="1">
        <f t="shared" si="3"/>
        <v>0.8857395925597874</v>
      </c>
      <c r="I11" s="1">
        <f t="shared" si="4"/>
        <v>8.8573959255978743</v>
      </c>
      <c r="J11" s="1">
        <f t="shared" si="5"/>
        <v>4.4286979627989371</v>
      </c>
    </row>
    <row r="12" spans="1:10" x14ac:dyDescent="0.25">
      <c r="A12" t="s">
        <v>10</v>
      </c>
      <c r="C12">
        <v>5</v>
      </c>
      <c r="D12">
        <v>4.4404973357015987</v>
      </c>
      <c r="E12">
        <f t="shared" si="0"/>
        <v>0.55950266429840134</v>
      </c>
      <c r="F12" s="3">
        <f t="shared" si="1"/>
        <v>11.190053285968027</v>
      </c>
      <c r="G12" s="1">
        <f t="shared" si="2"/>
        <v>0.12599999999999997</v>
      </c>
      <c r="H12" s="1">
        <f t="shared" si="3"/>
        <v>0.88809946714031984</v>
      </c>
      <c r="I12" s="1">
        <f t="shared" si="4"/>
        <v>8.8809946714031973</v>
      </c>
      <c r="J12" s="1">
        <f t="shared" si="5"/>
        <v>4.4404973357015995</v>
      </c>
    </row>
    <row r="13" spans="1:10" x14ac:dyDescent="0.25">
      <c r="A13" t="s">
        <v>11</v>
      </c>
      <c r="C13">
        <v>5</v>
      </c>
      <c r="D13">
        <v>4.3554006968641117</v>
      </c>
      <c r="E13">
        <f t="shared" si="0"/>
        <v>0.64459930313588831</v>
      </c>
      <c r="F13" s="3">
        <f t="shared" si="1"/>
        <v>12.891986062717766</v>
      </c>
      <c r="G13" s="1">
        <f t="shared" si="2"/>
        <v>0.14799999999999994</v>
      </c>
      <c r="H13" s="1">
        <f t="shared" si="3"/>
        <v>0.87108013937282236</v>
      </c>
      <c r="I13" s="1">
        <f t="shared" si="4"/>
        <v>8.7108013937282234</v>
      </c>
      <c r="J13" s="1">
        <f t="shared" si="5"/>
        <v>4.3554006968641117</v>
      </c>
    </row>
    <row r="14" spans="1:10" x14ac:dyDescent="0.25">
      <c r="A14" t="s">
        <v>11</v>
      </c>
      <c r="C14">
        <v>5</v>
      </c>
      <c r="D14">
        <v>4.3898156277436344</v>
      </c>
      <c r="E14">
        <f t="shared" si="0"/>
        <v>0.61018437225636557</v>
      </c>
      <c r="F14" s="3">
        <f t="shared" si="1"/>
        <v>12.203687445127311</v>
      </c>
      <c r="G14" s="1">
        <f t="shared" si="2"/>
        <v>0.1390000000000001</v>
      </c>
      <c r="H14" s="1">
        <f t="shared" si="3"/>
        <v>0.87796312554872691</v>
      </c>
      <c r="I14" s="1">
        <f t="shared" si="4"/>
        <v>8.7796312554872689</v>
      </c>
      <c r="J14" s="1">
        <f t="shared" si="5"/>
        <v>4.3898156277436344</v>
      </c>
    </row>
    <row r="15" spans="1:10" x14ac:dyDescent="0.25">
      <c r="A15" t="s">
        <v>11</v>
      </c>
      <c r="C15">
        <v>5</v>
      </c>
      <c r="D15">
        <v>4.3591979075850045</v>
      </c>
      <c r="E15">
        <f t="shared" si="0"/>
        <v>0.64080209241499553</v>
      </c>
      <c r="F15" s="3">
        <f t="shared" si="1"/>
        <v>12.816041848299909</v>
      </c>
      <c r="G15" s="1">
        <f t="shared" si="2"/>
        <v>0.14699999999999996</v>
      </c>
      <c r="H15" s="1">
        <f t="shared" si="3"/>
        <v>0.87183958151700081</v>
      </c>
      <c r="I15" s="1">
        <f t="shared" si="4"/>
        <v>8.7183958151700089</v>
      </c>
      <c r="J15" s="1">
        <f t="shared" si="5"/>
        <v>4.3591979075850045</v>
      </c>
    </row>
    <row r="16" spans="1:10" x14ac:dyDescent="0.25">
      <c r="A16" t="s">
        <v>12</v>
      </c>
      <c r="C16">
        <v>5</v>
      </c>
      <c r="D16">
        <v>4.3516100957354222</v>
      </c>
      <c r="E16">
        <f t="shared" si="0"/>
        <v>0.64838990426457777</v>
      </c>
      <c r="F16" s="3">
        <f t="shared" si="1"/>
        <v>12.967798085291554</v>
      </c>
      <c r="G16" s="1">
        <f t="shared" si="2"/>
        <v>0.14899999999999997</v>
      </c>
      <c r="H16" s="1">
        <f t="shared" si="3"/>
        <v>0.8703220191470844</v>
      </c>
      <c r="I16" s="1">
        <f t="shared" si="4"/>
        <v>8.7032201914708445</v>
      </c>
      <c r="J16" s="1">
        <f t="shared" si="5"/>
        <v>4.3516100957354222</v>
      </c>
    </row>
    <row r="17" spans="1:10" x14ac:dyDescent="0.25">
      <c r="A17" t="s">
        <v>12</v>
      </c>
      <c r="C17">
        <v>5</v>
      </c>
      <c r="D17">
        <v>4.3402777777777777</v>
      </c>
      <c r="E17">
        <f t="shared" si="0"/>
        <v>0.65972222222222232</v>
      </c>
      <c r="F17" s="3">
        <f t="shared" si="1"/>
        <v>13.194444444444446</v>
      </c>
      <c r="G17" s="1">
        <f t="shared" si="2"/>
        <v>0.15200000000000002</v>
      </c>
      <c r="H17" s="1">
        <f t="shared" si="3"/>
        <v>0.86805555555555547</v>
      </c>
      <c r="I17" s="1">
        <f t="shared" si="4"/>
        <v>8.6805555555555554</v>
      </c>
      <c r="J17" s="1">
        <f t="shared" si="5"/>
        <v>4.3402777777777777</v>
      </c>
    </row>
    <row r="18" spans="1:10" x14ac:dyDescent="0.25">
      <c r="A18" t="s">
        <v>12</v>
      </c>
      <c r="C18">
        <v>5</v>
      </c>
      <c r="D18">
        <v>4.284490145672665</v>
      </c>
      <c r="E18">
        <f t="shared" si="0"/>
        <v>0.71550985432733505</v>
      </c>
      <c r="F18" s="3">
        <f t="shared" si="1"/>
        <v>14.310197086546703</v>
      </c>
      <c r="G18" s="1">
        <f t="shared" si="2"/>
        <v>0.16700000000000001</v>
      </c>
      <c r="H18" s="1">
        <f t="shared" si="3"/>
        <v>0.85689802913453295</v>
      </c>
      <c r="I18" s="1">
        <f t="shared" si="4"/>
        <v>8.5689802913453299</v>
      </c>
      <c r="J18" s="1">
        <f t="shared" si="5"/>
        <v>4.284490145672665</v>
      </c>
    </row>
    <row r="19" spans="1:10" x14ac:dyDescent="0.25">
      <c r="A19" t="s">
        <v>13</v>
      </c>
      <c r="C19">
        <v>5</v>
      </c>
      <c r="D19">
        <v>4.3215211754537597</v>
      </c>
      <c r="E19">
        <f t="shared" si="0"/>
        <v>0.67847882454624031</v>
      </c>
      <c r="F19" s="3">
        <f t="shared" si="1"/>
        <v>13.569576490924806</v>
      </c>
      <c r="G19" s="1">
        <f t="shared" si="2"/>
        <v>0.157</v>
      </c>
      <c r="H19" s="1">
        <f t="shared" si="3"/>
        <v>0.86430423509075194</v>
      </c>
      <c r="I19" s="1">
        <f t="shared" si="4"/>
        <v>8.6430423509075194</v>
      </c>
      <c r="J19" s="1">
        <f t="shared" si="5"/>
        <v>4.3215211754537597</v>
      </c>
    </row>
    <row r="20" spans="1:10" x14ac:dyDescent="0.25">
      <c r="A20" t="s">
        <v>13</v>
      </c>
      <c r="C20">
        <v>5</v>
      </c>
      <c r="D20">
        <v>4.3478260869565215</v>
      </c>
      <c r="E20">
        <f t="shared" si="0"/>
        <v>0.65217391304347849</v>
      </c>
      <c r="F20" s="3">
        <f t="shared" si="1"/>
        <v>13.043478260869568</v>
      </c>
      <c r="G20" s="1">
        <f t="shared" si="2"/>
        <v>0.15000000000000005</v>
      </c>
      <c r="H20" s="1">
        <f t="shared" si="3"/>
        <v>0.86956521739130421</v>
      </c>
      <c r="I20" s="1">
        <f t="shared" si="4"/>
        <v>8.695652173913043</v>
      </c>
      <c r="J20" s="1">
        <f t="shared" si="5"/>
        <v>4.3478260869565215</v>
      </c>
    </row>
    <row r="21" spans="1:10" x14ac:dyDescent="0.25">
      <c r="A21" t="s">
        <v>13</v>
      </c>
      <c r="C21">
        <v>5</v>
      </c>
      <c r="D21">
        <v>4.3706293706293708</v>
      </c>
      <c r="E21">
        <f t="shared" si="0"/>
        <v>0.62937062937062915</v>
      </c>
      <c r="F21" s="3">
        <f t="shared" si="1"/>
        <v>12.587412587412583</v>
      </c>
      <c r="G21" s="1">
        <f t="shared" si="2"/>
        <v>0.14399999999999993</v>
      </c>
      <c r="H21" s="1">
        <f t="shared" si="3"/>
        <v>0.87412587412587417</v>
      </c>
      <c r="I21" s="1">
        <f t="shared" si="4"/>
        <v>8.7412587412587417</v>
      </c>
      <c r="J21" s="1">
        <f t="shared" si="5"/>
        <v>4.3706293706293708</v>
      </c>
    </row>
    <row r="22" spans="1:10" x14ac:dyDescent="0.25">
      <c r="A22" t="s">
        <v>14</v>
      </c>
      <c r="C22">
        <v>5</v>
      </c>
      <c r="D22">
        <v>4.3936731107205622</v>
      </c>
      <c r="E22">
        <f t="shared" si="0"/>
        <v>0.60632688927943779</v>
      </c>
      <c r="F22" s="3">
        <f t="shared" si="1"/>
        <v>12.126537785588756</v>
      </c>
      <c r="G22" s="1">
        <f t="shared" si="2"/>
        <v>0.13800000000000004</v>
      </c>
      <c r="H22" s="1">
        <f t="shared" si="3"/>
        <v>0.87873462214411235</v>
      </c>
      <c r="I22" s="1">
        <f t="shared" si="4"/>
        <v>8.7873462214411244</v>
      </c>
      <c r="J22" s="1">
        <f t="shared" si="5"/>
        <v>4.3936731107205613</v>
      </c>
    </row>
    <row r="23" spans="1:10" x14ac:dyDescent="0.25">
      <c r="A23" t="s">
        <v>14</v>
      </c>
      <c r="F23" s="3"/>
      <c r="G23" s="1"/>
      <c r="H23" s="1"/>
      <c r="I23" s="1"/>
      <c r="J23" s="1"/>
    </row>
    <row r="24" spans="1:10" x14ac:dyDescent="0.25">
      <c r="A24" t="s">
        <v>14</v>
      </c>
      <c r="C24">
        <v>5</v>
      </c>
      <c r="D24">
        <v>4.3936731107205622</v>
      </c>
      <c r="E24">
        <f t="shared" si="0"/>
        <v>0.60632688927943779</v>
      </c>
      <c r="F24" s="3">
        <f t="shared" si="1"/>
        <v>12.126537785588756</v>
      </c>
      <c r="G24" s="1">
        <f t="shared" si="2"/>
        <v>0.13800000000000004</v>
      </c>
      <c r="H24" s="1">
        <f t="shared" si="3"/>
        <v>0.87873462214411235</v>
      </c>
      <c r="I24" s="1">
        <f t="shared" si="4"/>
        <v>8.7873462214411244</v>
      </c>
      <c r="J24" s="1">
        <f t="shared" si="5"/>
        <v>4.3936731107205613</v>
      </c>
    </row>
    <row r="25" spans="1:10" x14ac:dyDescent="0.25">
      <c r="A25" t="s">
        <v>15</v>
      </c>
      <c r="C25">
        <v>5</v>
      </c>
      <c r="D25">
        <v>4.3365134431916736</v>
      </c>
      <c r="E25">
        <f t="shared" si="0"/>
        <v>0.66348655680832636</v>
      </c>
      <c r="F25" s="3">
        <f t="shared" si="1"/>
        <v>13.269731136166527</v>
      </c>
      <c r="G25" s="1">
        <f t="shared" si="2"/>
        <v>0.15300000000000005</v>
      </c>
      <c r="H25" s="1">
        <f t="shared" si="3"/>
        <v>0.86730268863833471</v>
      </c>
      <c r="I25" s="1">
        <f t="shared" si="4"/>
        <v>8.6730268863833473</v>
      </c>
      <c r="J25" s="1">
        <f t="shared" si="5"/>
        <v>4.3365134431916736</v>
      </c>
    </row>
    <row r="26" spans="1:10" x14ac:dyDescent="0.25">
      <c r="A26" t="s">
        <v>15</v>
      </c>
      <c r="C26">
        <v>5</v>
      </c>
      <c r="D26">
        <v>4.4630902436847268</v>
      </c>
      <c r="E26">
        <f t="shared" si="0"/>
        <v>0.53690975631527316</v>
      </c>
      <c r="F26" s="3">
        <f t="shared" si="1"/>
        <v>10.738195126305463</v>
      </c>
      <c r="G26" s="1">
        <f t="shared" si="2"/>
        <v>0.12030000000000012</v>
      </c>
      <c r="H26" s="1">
        <f t="shared" si="3"/>
        <v>0.89261804873694539</v>
      </c>
      <c r="I26" s="1">
        <f t="shared" si="4"/>
        <v>8.9261804873694537</v>
      </c>
      <c r="J26" s="1">
        <f t="shared" si="5"/>
        <v>4.4630902436847268</v>
      </c>
    </row>
    <row r="27" spans="1:10" x14ac:dyDescent="0.25">
      <c r="A27" t="s">
        <v>15</v>
      </c>
      <c r="C27">
        <v>5</v>
      </c>
      <c r="D27">
        <v>4.4444444444444446</v>
      </c>
      <c r="E27">
        <f t="shared" si="0"/>
        <v>0.55555555555555536</v>
      </c>
      <c r="F27" s="3">
        <f t="shared" si="1"/>
        <v>11.111111111111107</v>
      </c>
      <c r="G27" s="1">
        <f t="shared" si="2"/>
        <v>0.12499999999999994</v>
      </c>
      <c r="H27" s="1">
        <f t="shared" si="3"/>
        <v>0.88888888888888884</v>
      </c>
      <c r="I27" s="1">
        <f t="shared" si="4"/>
        <v>8.8888888888888893</v>
      </c>
      <c r="J27" s="1">
        <f t="shared" si="5"/>
        <v>4.4444444444444446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3"/>
  <sheetViews>
    <sheetView zoomScale="80" zoomScaleNormal="80" workbookViewId="0">
      <selection activeCell="P15" sqref="P15"/>
    </sheetView>
  </sheetViews>
  <sheetFormatPr defaultRowHeight="15" x14ac:dyDescent="0.25"/>
  <cols>
    <col min="1" max="1" width="11.5703125" style="14" customWidth="1"/>
    <col min="2" max="2" width="16" customWidth="1"/>
    <col min="3" max="3" width="20.140625" customWidth="1"/>
    <col min="4" max="4" width="22" customWidth="1"/>
    <col min="5" max="8" width="15.85546875" customWidth="1"/>
    <col min="9" max="9" width="9" customWidth="1"/>
    <col min="10" max="10" width="20.28515625" customWidth="1"/>
    <col min="11" max="11" width="16.140625" customWidth="1"/>
    <col min="12" max="12" width="12.140625" customWidth="1"/>
    <col min="13" max="13" width="13.7109375" customWidth="1"/>
    <col min="14" max="14" width="10.140625" customWidth="1"/>
    <col min="15" max="15" width="0" hidden="1" customWidth="1"/>
  </cols>
  <sheetData>
    <row r="1" spans="1:14" ht="63" x14ac:dyDescent="0.25">
      <c r="A1" s="17" t="s">
        <v>48</v>
      </c>
      <c r="B1" s="18" t="s">
        <v>49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47</v>
      </c>
      <c r="H1" s="19"/>
      <c r="I1" s="5"/>
      <c r="J1" s="18" t="s">
        <v>54</v>
      </c>
      <c r="K1" s="18" t="s">
        <v>55</v>
      </c>
      <c r="L1" s="20"/>
      <c r="M1" s="20"/>
      <c r="N1" s="5"/>
    </row>
    <row r="2" spans="1:14" ht="18.75" x14ac:dyDescent="0.25">
      <c r="A2" s="17" t="s">
        <v>29</v>
      </c>
      <c r="B2" s="21">
        <v>0</v>
      </c>
      <c r="C2" s="22">
        <f>(B2-$K$11)/$K$10</f>
        <v>0.19906822963631005</v>
      </c>
      <c r="D2" s="23" t="s">
        <v>56</v>
      </c>
      <c r="E2" s="18" t="s">
        <v>56</v>
      </c>
      <c r="F2" s="18"/>
      <c r="G2" s="18"/>
      <c r="H2" s="19"/>
      <c r="I2" s="24"/>
      <c r="J2" s="25">
        <v>1</v>
      </c>
      <c r="K2" s="26">
        <v>0.123</v>
      </c>
      <c r="L2" s="27"/>
      <c r="M2" s="28"/>
      <c r="N2" s="5"/>
    </row>
    <row r="3" spans="1:14" ht="18.75" x14ac:dyDescent="0.25">
      <c r="A3" s="17" t="s">
        <v>57</v>
      </c>
      <c r="B3" s="21"/>
      <c r="C3" s="22"/>
      <c r="D3" s="23"/>
      <c r="E3" s="18" t="s">
        <v>58</v>
      </c>
      <c r="F3" s="18"/>
      <c r="G3" s="18"/>
      <c r="H3" s="19"/>
      <c r="I3" s="24"/>
      <c r="J3" s="25"/>
      <c r="K3" s="26"/>
      <c r="L3" s="27"/>
      <c r="M3" s="28"/>
      <c r="N3" s="5"/>
    </row>
    <row r="4" spans="1:14" ht="18.75" x14ac:dyDescent="0.25">
      <c r="A4" s="29" t="s">
        <v>7</v>
      </c>
      <c r="B4" s="30">
        <v>1.9493333333333334</v>
      </c>
      <c r="C4" s="22">
        <f t="shared" ref="C4:C27" si="0">(B4-$K$11)/$K$10</f>
        <v>13.030568079350765</v>
      </c>
      <c r="D4" s="22">
        <f t="shared" ref="D4:D27" si="1">C4-$C$2</f>
        <v>12.831499849714454</v>
      </c>
      <c r="E4" s="31">
        <f>(0.0005/(0.001))*D4</f>
        <v>6.4157499248572272</v>
      </c>
      <c r="F4" s="31">
        <f>AVERAGE(E4:E6)</f>
        <v>5.9560715359182437</v>
      </c>
      <c r="G4" s="31">
        <f>STDEV(E4:E6)/SQRT(3)</f>
        <v>0.22983941266438843</v>
      </c>
      <c r="H4" s="32"/>
      <c r="I4" s="26"/>
      <c r="J4" s="25">
        <v>2</v>
      </c>
      <c r="K4" s="26">
        <v>0.376</v>
      </c>
      <c r="L4" s="33"/>
      <c r="M4" s="27"/>
      <c r="N4" s="26"/>
    </row>
    <row r="5" spans="1:14" ht="18.75" x14ac:dyDescent="0.25">
      <c r="A5" s="29" t="s">
        <v>7</v>
      </c>
      <c r="B5" s="30">
        <v>1.7396666666666667</v>
      </c>
      <c r="C5" s="22">
        <f t="shared" si="0"/>
        <v>11.650435828073338</v>
      </c>
      <c r="D5" s="22">
        <f t="shared" si="1"/>
        <v>11.451367598437027</v>
      </c>
      <c r="E5" s="31">
        <f t="shared" ref="E5:E27" si="2">(0.0005/(0.001))*D5</f>
        <v>5.7256837992185137</v>
      </c>
      <c r="F5" s="31"/>
      <c r="G5" s="31"/>
      <c r="H5" s="32"/>
      <c r="I5" s="26"/>
      <c r="J5" s="34">
        <v>4</v>
      </c>
      <c r="K5" s="26">
        <v>0.56333333333333335</v>
      </c>
      <c r="L5" s="33"/>
      <c r="M5" s="33"/>
      <c r="N5" s="26"/>
    </row>
    <row r="6" spans="1:14" ht="18.75" x14ac:dyDescent="0.25">
      <c r="A6" s="29" t="s">
        <v>7</v>
      </c>
      <c r="B6" s="30">
        <v>1.74</v>
      </c>
      <c r="C6" s="22">
        <f t="shared" si="0"/>
        <v>11.652629996994289</v>
      </c>
      <c r="D6" s="22">
        <f t="shared" si="1"/>
        <v>11.453561767357979</v>
      </c>
      <c r="E6" s="31">
        <f t="shared" si="2"/>
        <v>5.7267808836789893</v>
      </c>
      <c r="F6" s="31"/>
      <c r="G6" s="31"/>
      <c r="H6" s="32"/>
      <c r="I6" s="26"/>
      <c r="J6" s="34">
        <v>6</v>
      </c>
      <c r="K6" s="26">
        <v>0.81066666666666665</v>
      </c>
      <c r="L6" s="35"/>
      <c r="M6" s="33"/>
      <c r="N6" s="26"/>
    </row>
    <row r="7" spans="1:14" ht="18.75" x14ac:dyDescent="0.25">
      <c r="A7" s="29" t="s">
        <v>9</v>
      </c>
      <c r="B7" s="30">
        <v>2.4590000000000001</v>
      </c>
      <c r="C7" s="22">
        <f t="shared" si="0"/>
        <v>16.385452359483015</v>
      </c>
      <c r="D7" s="22">
        <f t="shared" si="1"/>
        <v>16.186384129846704</v>
      </c>
      <c r="E7" s="31">
        <f t="shared" si="2"/>
        <v>8.0931920649233522</v>
      </c>
      <c r="F7" s="31">
        <f>AVERAGE(E7:E9)</f>
        <v>8.0185903216110592</v>
      </c>
      <c r="G7" s="31">
        <f>STDEV(E7:E9)/SQRT(3)</f>
        <v>4.6944447891776764E-2</v>
      </c>
      <c r="H7" s="32"/>
      <c r="I7" s="26"/>
      <c r="J7" s="34">
        <v>8</v>
      </c>
      <c r="K7" s="26">
        <v>0.95299999999999996</v>
      </c>
      <c r="L7" s="33"/>
      <c r="M7" s="33"/>
      <c r="N7" s="26"/>
    </row>
    <row r="8" spans="1:14" ht="18.75" x14ac:dyDescent="0.25">
      <c r="A8" s="29" t="s">
        <v>9</v>
      </c>
      <c r="B8" s="30">
        <v>2.44</v>
      </c>
      <c r="C8" s="22">
        <f t="shared" si="0"/>
        <v>16.260384730988875</v>
      </c>
      <c r="D8" s="22">
        <f t="shared" si="1"/>
        <v>16.061316501352565</v>
      </c>
      <c r="E8" s="31">
        <f t="shared" si="2"/>
        <v>8.0306582506762823</v>
      </c>
      <c r="F8" s="31"/>
      <c r="G8" s="31"/>
      <c r="H8" s="32"/>
      <c r="I8" s="26"/>
      <c r="J8" s="36">
        <v>10</v>
      </c>
      <c r="K8" s="26">
        <v>1.702</v>
      </c>
      <c r="L8" s="33"/>
      <c r="M8" s="33"/>
      <c r="N8" s="26"/>
    </row>
    <row r="9" spans="1:14" ht="19.5" thickBot="1" x14ac:dyDescent="0.3">
      <c r="A9" s="29" t="s">
        <v>9</v>
      </c>
      <c r="B9" s="30">
        <v>2.41</v>
      </c>
      <c r="C9" s="22">
        <f t="shared" si="0"/>
        <v>16.062909528103397</v>
      </c>
      <c r="D9" s="22">
        <f t="shared" si="1"/>
        <v>15.863841298467086</v>
      </c>
      <c r="E9" s="31">
        <f t="shared" si="2"/>
        <v>7.9319206492335432</v>
      </c>
      <c r="F9" s="31"/>
      <c r="G9" s="31"/>
      <c r="H9" s="32"/>
      <c r="I9" s="26"/>
      <c r="J9" s="37"/>
      <c r="K9" s="38"/>
      <c r="L9" s="33"/>
      <c r="M9" s="33"/>
      <c r="N9" s="26"/>
    </row>
    <row r="10" spans="1:14" ht="18.75" x14ac:dyDescent="0.25">
      <c r="A10" s="29" t="s">
        <v>10</v>
      </c>
      <c r="B10" s="30">
        <v>1.397</v>
      </c>
      <c r="C10" s="22">
        <f t="shared" si="0"/>
        <v>9.3948301773369405</v>
      </c>
      <c r="D10" s="22">
        <f t="shared" si="1"/>
        <v>9.19576194770063</v>
      </c>
      <c r="E10" s="31">
        <f t="shared" si="2"/>
        <v>4.597880973850315</v>
      </c>
      <c r="F10" s="31">
        <f>AVERAGE(E10:E12)</f>
        <v>4.7086865043582797</v>
      </c>
      <c r="G10" s="31">
        <f>STDEV(E10:E12)/SQRT(3)</f>
        <v>9.3290891732834974E-2</v>
      </c>
      <c r="H10" s="32"/>
      <c r="I10" s="26"/>
      <c r="J10" s="39" t="s">
        <v>59</v>
      </c>
      <c r="K10" s="40">
        <f>SLOPE(K2:K9,J2:J9)</f>
        <v>0.15191780821917811</v>
      </c>
      <c r="L10" s="26"/>
      <c r="M10" s="26"/>
      <c r="N10" s="26"/>
    </row>
    <row r="11" spans="1:14" ht="19.5" thickBot="1" x14ac:dyDescent="0.3">
      <c r="A11" s="29" t="s">
        <v>10</v>
      </c>
      <c r="B11" s="30">
        <v>1.4079999999999999</v>
      </c>
      <c r="C11" s="22">
        <f t="shared" si="0"/>
        <v>9.4672377517282822</v>
      </c>
      <c r="D11" s="22">
        <f t="shared" si="1"/>
        <v>9.2681695220919718</v>
      </c>
      <c r="E11" s="31">
        <f t="shared" si="2"/>
        <v>4.6340847610459859</v>
      </c>
      <c r="F11" s="31"/>
      <c r="G11" s="31"/>
      <c r="H11" s="32"/>
      <c r="I11" s="26"/>
      <c r="J11" s="41" t="s">
        <v>60</v>
      </c>
      <c r="K11" s="42">
        <f>INTERCEPT(K2:K9,J2:J9)</f>
        <v>-3.0242009132420256E-2</v>
      </c>
      <c r="L11" s="26"/>
      <c r="M11" s="26"/>
      <c r="N11" s="26"/>
    </row>
    <row r="12" spans="1:14" ht="18.75" x14ac:dyDescent="0.25">
      <c r="A12" s="29" t="s">
        <v>10</v>
      </c>
      <c r="B12" s="30">
        <v>1.4870000000000001</v>
      </c>
      <c r="C12" s="22">
        <f t="shared" si="0"/>
        <v>9.987255785993387</v>
      </c>
      <c r="D12" s="22">
        <f t="shared" si="1"/>
        <v>9.7881875563570766</v>
      </c>
      <c r="E12" s="31">
        <f t="shared" si="2"/>
        <v>4.8940937781785383</v>
      </c>
      <c r="F12" s="31"/>
      <c r="G12" s="31"/>
      <c r="H12" s="32"/>
      <c r="I12" s="26"/>
      <c r="J12" s="26"/>
      <c r="K12" s="43"/>
      <c r="L12" s="26"/>
      <c r="M12" s="26"/>
      <c r="N12" s="26"/>
    </row>
    <row r="13" spans="1:14" ht="18.75" x14ac:dyDescent="0.25">
      <c r="A13" s="29" t="s">
        <v>14</v>
      </c>
      <c r="B13" s="30">
        <v>1.42</v>
      </c>
      <c r="C13" s="22">
        <f>(B13-$K$11)/$K$10</f>
        <v>9.5462278328824759</v>
      </c>
      <c r="D13" s="22">
        <f>C13-$C$2</f>
        <v>9.3471596032461655</v>
      </c>
      <c r="E13" s="31">
        <f>(0.0005/(0.001))*D13</f>
        <v>4.6735798016230827</v>
      </c>
      <c r="F13" s="31">
        <f>AVERAGE(E13,E15)</f>
        <v>4.6900360685302065</v>
      </c>
      <c r="G13" s="31">
        <f>STDEV(E13,E15)/SQRT(2)</f>
        <v>1.6456266907123318E-2</v>
      </c>
      <c r="H13" s="32"/>
      <c r="L13" s="26"/>
    </row>
    <row r="14" spans="1:14" ht="18.75" x14ac:dyDescent="0.25">
      <c r="A14" s="29" t="s">
        <v>14</v>
      </c>
      <c r="B14" s="30"/>
      <c r="C14" s="22"/>
      <c r="D14" s="22"/>
      <c r="E14" s="31"/>
      <c r="F14" s="31"/>
      <c r="G14" s="31"/>
      <c r="H14" s="32"/>
      <c r="L14" s="26"/>
    </row>
    <row r="15" spans="1:14" ht="18.75" x14ac:dyDescent="0.25">
      <c r="A15" s="29" t="s">
        <v>14</v>
      </c>
      <c r="B15" s="30">
        <v>1.43</v>
      </c>
      <c r="C15" s="22">
        <f>(B15-$K$11)/$K$10</f>
        <v>9.6120529005109692</v>
      </c>
      <c r="D15" s="22">
        <f>C15-$C$2</f>
        <v>9.4129846708746587</v>
      </c>
      <c r="E15" s="31">
        <f>(0.0005/(0.001))*D15</f>
        <v>4.7064923354373294</v>
      </c>
      <c r="F15" s="31"/>
      <c r="G15" s="31"/>
      <c r="H15" s="32"/>
      <c r="K15" s="44"/>
      <c r="L15" s="45"/>
    </row>
    <row r="16" spans="1:14" ht="18.75" x14ac:dyDescent="0.25">
      <c r="A16" s="29" t="s">
        <v>11</v>
      </c>
      <c r="B16" s="30">
        <v>2.74</v>
      </c>
      <c r="C16" s="22">
        <f t="shared" si="0"/>
        <v>18.235136759843705</v>
      </c>
      <c r="D16" s="22">
        <f t="shared" si="1"/>
        <v>18.036068530207395</v>
      </c>
      <c r="E16" s="31">
        <f t="shared" si="2"/>
        <v>9.0180342651036973</v>
      </c>
      <c r="F16" s="31">
        <f t="shared" ref="F16" si="3">AVERAGE(E16:E18)</f>
        <v>9.043267207694619</v>
      </c>
      <c r="G16" s="31">
        <f t="shared" ref="G16" si="4">STDEV(E16:E18)/SQRT(3)</f>
        <v>2.5232942590922274E-2</v>
      </c>
      <c r="H16" s="32"/>
      <c r="I16" s="26"/>
      <c r="J16" s="26"/>
      <c r="K16" s="46"/>
      <c r="L16" s="26"/>
      <c r="M16" s="47"/>
      <c r="N16" s="26"/>
    </row>
    <row r="17" spans="1:15" ht="18.75" x14ac:dyDescent="0.25">
      <c r="A17" s="29" t="s">
        <v>11</v>
      </c>
      <c r="B17" s="30">
        <v>2.74</v>
      </c>
      <c r="C17" s="22">
        <f t="shared" si="0"/>
        <v>18.235136759843705</v>
      </c>
      <c r="D17" s="22">
        <f t="shared" si="1"/>
        <v>18.036068530207395</v>
      </c>
      <c r="E17" s="31">
        <f t="shared" si="2"/>
        <v>9.0180342651036973</v>
      </c>
      <c r="F17" s="31"/>
      <c r="G17" s="31"/>
      <c r="H17" s="32"/>
      <c r="I17" s="26"/>
      <c r="J17" s="26"/>
      <c r="K17" s="48"/>
      <c r="L17" s="26"/>
      <c r="M17" s="47"/>
      <c r="N17" s="26"/>
    </row>
    <row r="18" spans="1:15" ht="18.75" x14ac:dyDescent="0.25">
      <c r="A18" s="29" t="s">
        <v>11</v>
      </c>
      <c r="B18" s="30">
        <v>2.7629999999999999</v>
      </c>
      <c r="C18" s="22">
        <f t="shared" si="0"/>
        <v>18.386534415389239</v>
      </c>
      <c r="D18" s="22">
        <f t="shared" si="1"/>
        <v>18.187466185752928</v>
      </c>
      <c r="E18" s="31">
        <f t="shared" si="2"/>
        <v>9.0937330928764641</v>
      </c>
      <c r="F18" s="31"/>
      <c r="G18" s="31"/>
      <c r="H18" s="32"/>
      <c r="I18" s="26"/>
      <c r="J18" s="26"/>
      <c r="K18" s="48"/>
      <c r="L18" s="26"/>
      <c r="M18" s="26"/>
      <c r="N18" s="26"/>
    </row>
    <row r="19" spans="1:15" ht="18.75" x14ac:dyDescent="0.25">
      <c r="A19" s="29" t="s">
        <v>12</v>
      </c>
      <c r="B19" s="30">
        <v>2.37</v>
      </c>
      <c r="C19" s="22">
        <f t="shared" si="0"/>
        <v>15.79960925758942</v>
      </c>
      <c r="D19" s="22">
        <f t="shared" si="1"/>
        <v>15.60054102795311</v>
      </c>
      <c r="E19" s="31">
        <f t="shared" si="2"/>
        <v>7.8002705139765549</v>
      </c>
      <c r="F19" s="31">
        <f t="shared" ref="F19" si="5">AVERAGE(E19:E21)</f>
        <v>7.4930868650435825</v>
      </c>
      <c r="G19" s="31">
        <f t="shared" ref="G19" si="6">STDEV(E19:E21)/SQRT(3)</f>
        <v>0.16382964685662302</v>
      </c>
      <c r="H19" s="32"/>
      <c r="I19" s="26"/>
      <c r="J19" s="26"/>
      <c r="K19" s="48"/>
      <c r="L19" s="26"/>
      <c r="M19" s="26"/>
      <c r="N19" s="26"/>
    </row>
    <row r="20" spans="1:15" ht="18.75" x14ac:dyDescent="0.25">
      <c r="A20" s="29" t="s">
        <v>12</v>
      </c>
      <c r="B20" s="30">
        <v>2.2599999999999998</v>
      </c>
      <c r="C20" s="22">
        <f t="shared" si="0"/>
        <v>15.075533513675984</v>
      </c>
      <c r="D20" s="22">
        <f t="shared" si="1"/>
        <v>14.876465284039673</v>
      </c>
      <c r="E20" s="31">
        <f t="shared" si="2"/>
        <v>7.4382326420198366</v>
      </c>
      <c r="F20" s="31"/>
      <c r="G20" s="31"/>
      <c r="H20" s="32"/>
      <c r="I20" s="26"/>
      <c r="J20" s="26"/>
      <c r="K20" s="48"/>
      <c r="L20" s="26"/>
      <c r="M20" s="26"/>
      <c r="N20" s="26"/>
    </row>
    <row r="21" spans="1:15" ht="24.95" customHeight="1" x14ac:dyDescent="0.25">
      <c r="A21" s="29" t="s">
        <v>12</v>
      </c>
      <c r="B21" s="30">
        <v>2.2000000000000002</v>
      </c>
      <c r="C21" s="22">
        <f t="shared" si="0"/>
        <v>14.68058310790502</v>
      </c>
      <c r="D21" s="22">
        <f t="shared" si="1"/>
        <v>14.48151487826871</v>
      </c>
      <c r="E21" s="31">
        <f t="shared" si="2"/>
        <v>7.240757439134355</v>
      </c>
      <c r="F21" s="31"/>
      <c r="G21" s="31"/>
      <c r="H21" s="32"/>
      <c r="L21" s="26"/>
      <c r="M21" s="26"/>
      <c r="N21" s="26"/>
    </row>
    <row r="22" spans="1:15" ht="18.75" x14ac:dyDescent="0.25">
      <c r="A22" s="29" t="s">
        <v>13</v>
      </c>
      <c r="B22" s="30">
        <v>1.46</v>
      </c>
      <c r="C22" s="22">
        <f t="shared" si="0"/>
        <v>9.8095281033964525</v>
      </c>
      <c r="D22" s="22">
        <f t="shared" si="1"/>
        <v>9.6104598737601421</v>
      </c>
      <c r="E22" s="31">
        <f t="shared" si="2"/>
        <v>4.8052299368800711</v>
      </c>
      <c r="F22" s="31">
        <f t="shared" ref="F22" si="7">AVERAGE(E22:E24)</f>
        <v>4.8589870754433413</v>
      </c>
      <c r="G22" s="31">
        <f t="shared" ref="G22" si="8">STDEV(E22:E24)/SQRT(3)</f>
        <v>4.2758154334327308E-2</v>
      </c>
      <c r="H22" s="32"/>
      <c r="L22" s="26"/>
      <c r="M22" s="26"/>
      <c r="N22" s="26"/>
      <c r="O22" s="26"/>
    </row>
    <row r="23" spans="1:15" ht="18.75" x14ac:dyDescent="0.25">
      <c r="A23" s="29" t="s">
        <v>13</v>
      </c>
      <c r="B23" s="30">
        <v>1.4670000000000001</v>
      </c>
      <c r="C23" s="22">
        <f t="shared" si="0"/>
        <v>9.8556056507363987</v>
      </c>
      <c r="D23" s="22">
        <f t="shared" si="1"/>
        <v>9.6565374211000883</v>
      </c>
      <c r="E23" s="31">
        <f t="shared" si="2"/>
        <v>4.8282687105500441</v>
      </c>
      <c r="F23" s="31"/>
      <c r="G23" s="31"/>
      <c r="H23" s="32"/>
      <c r="L23" s="26"/>
      <c r="M23" s="26"/>
      <c r="N23" s="26"/>
      <c r="O23" s="26"/>
    </row>
    <row r="24" spans="1:15" ht="18.75" x14ac:dyDescent="0.25">
      <c r="A24" s="29" t="s">
        <v>13</v>
      </c>
      <c r="B24" s="30">
        <v>1.502</v>
      </c>
      <c r="C24" s="22">
        <f t="shared" si="0"/>
        <v>10.085993387436128</v>
      </c>
      <c r="D24" s="22">
        <f t="shared" si="1"/>
        <v>9.8869251577998174</v>
      </c>
      <c r="E24" s="31">
        <f t="shared" si="2"/>
        <v>4.9434625788999087</v>
      </c>
      <c r="F24" s="31"/>
      <c r="G24" s="31"/>
      <c r="H24" s="32"/>
      <c r="L24" s="26"/>
      <c r="M24" s="26"/>
      <c r="N24" s="26"/>
      <c r="O24" s="26"/>
    </row>
    <row r="25" spans="1:15" ht="18.75" x14ac:dyDescent="0.25">
      <c r="A25" s="29" t="s">
        <v>15</v>
      </c>
      <c r="B25" s="30">
        <v>1.43</v>
      </c>
      <c r="C25" s="22">
        <f t="shared" si="0"/>
        <v>9.6120529005109692</v>
      </c>
      <c r="D25" s="22">
        <f t="shared" si="1"/>
        <v>9.4129846708746587</v>
      </c>
      <c r="E25" s="31">
        <f t="shared" si="2"/>
        <v>4.7064923354373294</v>
      </c>
      <c r="F25" s="31">
        <f t="shared" ref="F25" si="9">AVERAGE(E25:E27)</f>
        <v>4.69990982867448</v>
      </c>
      <c r="G25" s="31">
        <f t="shared" ref="G25" si="10">STDEV(E25:E27)/SQRT(3)</f>
        <v>6.2793112446742086E-2</v>
      </c>
      <c r="H25" s="32"/>
    </row>
    <row r="26" spans="1:15" ht="18.75" x14ac:dyDescent="0.25">
      <c r="A26" s="29" t="s">
        <v>15</v>
      </c>
      <c r="B26" s="30">
        <v>1.46</v>
      </c>
      <c r="C26" s="22">
        <f t="shared" si="0"/>
        <v>9.8095281033964525</v>
      </c>
      <c r="D26" s="22">
        <f t="shared" si="1"/>
        <v>9.6104598737601421</v>
      </c>
      <c r="E26" s="31">
        <f t="shared" si="2"/>
        <v>4.8052299368800711</v>
      </c>
      <c r="F26" s="31"/>
      <c r="G26" s="31"/>
      <c r="H26" s="32"/>
    </row>
    <row r="27" spans="1:15" ht="18.75" x14ac:dyDescent="0.25">
      <c r="A27" s="29" t="s">
        <v>15</v>
      </c>
      <c r="B27" s="30">
        <v>1.3939999999999999</v>
      </c>
      <c r="C27" s="22">
        <f t="shared" si="0"/>
        <v>9.3750826570483916</v>
      </c>
      <c r="D27" s="22">
        <f t="shared" si="1"/>
        <v>9.1760144274120812</v>
      </c>
      <c r="E27" s="31">
        <f t="shared" si="2"/>
        <v>4.5880072137060406</v>
      </c>
      <c r="F27" s="31"/>
      <c r="G27" s="31"/>
      <c r="H27" s="32"/>
    </row>
    <row r="28" spans="1:15" ht="24.95" customHeight="1" x14ac:dyDescent="0.25">
      <c r="A28" s="29"/>
      <c r="B28" s="30"/>
      <c r="C28" s="22"/>
      <c r="D28" s="22"/>
      <c r="E28" s="31"/>
      <c r="F28" s="31"/>
      <c r="G28" s="31"/>
      <c r="H28" s="32"/>
    </row>
    <row r="29" spans="1:15" ht="18.75" x14ac:dyDescent="0.25">
      <c r="A29" s="29"/>
      <c r="B29" s="30"/>
      <c r="C29" s="22"/>
      <c r="D29" s="22"/>
      <c r="E29" s="31"/>
      <c r="F29" s="31"/>
      <c r="G29" s="31"/>
      <c r="H29" s="32"/>
      <c r="I29" s="49"/>
    </row>
    <row r="30" spans="1:15" ht="18.75" x14ac:dyDescent="0.25">
      <c r="A30" s="29"/>
      <c r="B30" s="30"/>
      <c r="C30" s="22"/>
      <c r="D30" s="22"/>
      <c r="E30" s="31"/>
      <c r="F30" s="31"/>
      <c r="G30" s="31"/>
      <c r="H30" s="32"/>
      <c r="I30" s="49"/>
    </row>
    <row r="31" spans="1:15" ht="18.75" x14ac:dyDescent="0.25">
      <c r="A31" s="29"/>
      <c r="B31" s="30"/>
      <c r="C31" s="22"/>
      <c r="D31" s="22"/>
      <c r="E31" s="31"/>
      <c r="F31" s="31"/>
      <c r="G31" s="31"/>
      <c r="H31" s="32"/>
    </row>
    <row r="32" spans="1:15" ht="18.75" x14ac:dyDescent="0.25">
      <c r="A32" s="29"/>
      <c r="B32" s="30"/>
      <c r="C32" s="22"/>
      <c r="D32" s="22"/>
      <c r="E32" s="31"/>
      <c r="F32" s="31"/>
      <c r="G32" s="31"/>
      <c r="H32" s="32"/>
    </row>
    <row r="33" spans="1:8" ht="18.75" x14ac:dyDescent="0.25">
      <c r="A33" s="29"/>
      <c r="B33" s="30"/>
      <c r="C33" s="22"/>
      <c r="D33" s="22"/>
      <c r="E33" s="31"/>
      <c r="F33" s="31"/>
      <c r="G33" s="31"/>
      <c r="H33" s="32"/>
    </row>
    <row r="34" spans="1:8" ht="18.75" x14ac:dyDescent="0.25">
      <c r="A34" s="29"/>
      <c r="B34" s="30"/>
      <c r="C34" s="22"/>
      <c r="D34" s="22"/>
      <c r="E34" s="31"/>
      <c r="F34" s="31"/>
      <c r="G34" s="31"/>
      <c r="H34" s="32"/>
    </row>
    <row r="35" spans="1:8" ht="18.75" x14ac:dyDescent="0.25">
      <c r="A35" s="29"/>
      <c r="B35" s="30"/>
      <c r="C35" s="22"/>
      <c r="D35" s="22"/>
      <c r="E35" s="31"/>
      <c r="F35" s="31"/>
      <c r="G35" s="31"/>
      <c r="H35" s="32"/>
    </row>
    <row r="36" spans="1:8" ht="18.75" x14ac:dyDescent="0.25">
      <c r="A36" s="29"/>
      <c r="B36" s="30"/>
      <c r="C36" s="22"/>
      <c r="D36" s="22"/>
      <c r="E36" s="31"/>
      <c r="F36" s="31"/>
      <c r="G36" s="31"/>
      <c r="H36" s="32"/>
    </row>
    <row r="37" spans="1:8" ht="18.75" x14ac:dyDescent="0.25">
      <c r="A37" s="29"/>
      <c r="B37" s="30"/>
      <c r="C37" s="22"/>
      <c r="D37" s="22"/>
      <c r="E37" s="31"/>
      <c r="F37" s="31"/>
      <c r="G37" s="31"/>
      <c r="H37" s="32"/>
    </row>
    <row r="38" spans="1:8" ht="18.75" x14ac:dyDescent="0.25">
      <c r="A38" s="29"/>
      <c r="B38" s="30"/>
      <c r="C38" s="22"/>
      <c r="D38" s="22"/>
      <c r="E38" s="31"/>
      <c r="F38" s="31"/>
      <c r="G38" s="31"/>
      <c r="H38" s="32"/>
    </row>
    <row r="39" spans="1:8" ht="18.75" x14ac:dyDescent="0.25">
      <c r="A39" s="29"/>
      <c r="B39" s="30"/>
      <c r="C39" s="22"/>
      <c r="D39" s="22"/>
      <c r="E39" s="31"/>
      <c r="F39" s="31"/>
      <c r="G39" s="31"/>
      <c r="H39" s="32"/>
    </row>
    <row r="40" spans="1:8" ht="18.75" customHeight="1" x14ac:dyDescent="0.25">
      <c r="A40" s="29"/>
      <c r="B40" s="30"/>
      <c r="C40" s="22"/>
      <c r="D40" s="22"/>
      <c r="E40" s="31"/>
      <c r="F40" s="31"/>
      <c r="G40" s="31"/>
      <c r="H40" s="32"/>
    </row>
    <row r="41" spans="1:8" ht="18.75" x14ac:dyDescent="0.25">
      <c r="A41" s="29"/>
      <c r="B41" s="30"/>
      <c r="C41" s="22"/>
      <c r="D41" s="22"/>
      <c r="E41" s="31"/>
      <c r="F41" s="31"/>
      <c r="G41" s="31"/>
      <c r="H41" s="32"/>
    </row>
    <row r="42" spans="1:8" ht="18.75" x14ac:dyDescent="0.25">
      <c r="A42" s="29"/>
      <c r="B42" s="30"/>
      <c r="C42" s="22"/>
      <c r="D42" s="22"/>
      <c r="E42" s="31"/>
      <c r="F42" s="31"/>
      <c r="G42" s="31"/>
      <c r="H42" s="32"/>
    </row>
    <row r="43" spans="1:8" ht="18.75" x14ac:dyDescent="0.25">
      <c r="A43" s="29"/>
      <c r="B43" s="30"/>
      <c r="C43" s="22"/>
      <c r="D43" s="22"/>
      <c r="E43" s="31"/>
      <c r="F43" s="31"/>
      <c r="G43" s="31"/>
      <c r="H43" s="32"/>
    </row>
    <row r="44" spans="1:8" ht="18.75" x14ac:dyDescent="0.25">
      <c r="A44" s="29"/>
      <c r="B44" s="30"/>
      <c r="C44" s="22"/>
      <c r="D44" s="22"/>
      <c r="E44" s="31"/>
      <c r="F44" s="31"/>
      <c r="G44" s="31"/>
      <c r="H44" s="32"/>
    </row>
    <row r="45" spans="1:8" ht="18.75" x14ac:dyDescent="0.25">
      <c r="A45" s="29"/>
      <c r="B45" s="30"/>
      <c r="C45" s="22"/>
      <c r="D45" s="22"/>
      <c r="E45" s="31"/>
      <c r="F45" s="31"/>
      <c r="G45" s="31"/>
      <c r="H45" s="32"/>
    </row>
    <row r="46" spans="1:8" ht="18.75" x14ac:dyDescent="0.25">
      <c r="A46" s="29"/>
      <c r="B46" s="30"/>
      <c r="C46" s="22"/>
      <c r="D46" s="22"/>
      <c r="E46" s="31"/>
      <c r="F46" s="31"/>
      <c r="G46" s="31"/>
      <c r="H46" s="32"/>
    </row>
    <row r="47" spans="1:8" ht="18.75" x14ac:dyDescent="0.25">
      <c r="A47" s="29"/>
      <c r="B47" s="30"/>
      <c r="C47" s="22"/>
      <c r="D47" s="22"/>
      <c r="E47" s="31"/>
      <c r="F47" s="31"/>
      <c r="G47" s="31"/>
      <c r="H47" s="32"/>
    </row>
    <row r="48" spans="1:8" ht="18.75" x14ac:dyDescent="0.25">
      <c r="A48" s="29"/>
      <c r="B48" s="30"/>
      <c r="C48" s="22"/>
      <c r="D48" s="22"/>
      <c r="E48" s="31"/>
      <c r="F48" s="31"/>
      <c r="G48" s="31"/>
      <c r="H48" s="32"/>
    </row>
    <row r="49" spans="1:8" ht="18.75" x14ac:dyDescent="0.25">
      <c r="A49" s="29"/>
      <c r="B49" s="30"/>
      <c r="C49" s="22"/>
      <c r="D49" s="22"/>
      <c r="E49" s="31"/>
      <c r="F49" s="31"/>
      <c r="G49" s="31"/>
      <c r="H49" s="32"/>
    </row>
    <row r="50" spans="1:8" ht="18.75" x14ac:dyDescent="0.25">
      <c r="A50" s="29"/>
      <c r="B50" s="30"/>
      <c r="C50" s="22"/>
      <c r="D50" s="22"/>
      <c r="E50" s="31"/>
      <c r="F50" s="31"/>
      <c r="G50" s="31"/>
      <c r="H50" s="32"/>
    </row>
    <row r="51" spans="1:8" ht="18.75" x14ac:dyDescent="0.25">
      <c r="A51" s="29"/>
      <c r="B51" s="30"/>
      <c r="C51" s="22"/>
      <c r="D51" s="22"/>
      <c r="E51" s="31"/>
      <c r="F51" s="31"/>
      <c r="G51" s="31"/>
      <c r="H51" s="32"/>
    </row>
    <row r="52" spans="1:8" ht="18.75" x14ac:dyDescent="0.25">
      <c r="A52" s="29"/>
      <c r="B52" s="30"/>
      <c r="C52" s="22"/>
      <c r="D52" s="22"/>
      <c r="E52" s="31"/>
      <c r="F52" s="31"/>
      <c r="G52" s="31"/>
      <c r="H52" s="32"/>
    </row>
    <row r="53" spans="1:8" ht="18.75" x14ac:dyDescent="0.25">
      <c r="A53" s="29"/>
      <c r="B53" s="30"/>
      <c r="C53" s="22"/>
      <c r="D53" s="22"/>
      <c r="E53" s="31"/>
      <c r="F53" s="31"/>
      <c r="G53" s="31"/>
      <c r="H53" s="32"/>
    </row>
    <row r="54" spans="1:8" ht="18.75" x14ac:dyDescent="0.25">
      <c r="A54" s="29"/>
      <c r="B54" s="30"/>
      <c r="C54" s="22"/>
      <c r="D54" s="22"/>
      <c r="E54" s="31"/>
      <c r="F54" s="31"/>
      <c r="G54" s="31"/>
      <c r="H54" s="32"/>
    </row>
    <row r="55" spans="1:8" ht="18.75" x14ac:dyDescent="0.25">
      <c r="A55" s="29"/>
      <c r="B55" s="30"/>
      <c r="C55" s="22"/>
      <c r="D55" s="22"/>
      <c r="E55" s="31"/>
      <c r="F55" s="31"/>
      <c r="G55" s="31"/>
      <c r="H55" s="32"/>
    </row>
    <row r="56" spans="1:8" ht="18.75" x14ac:dyDescent="0.25">
      <c r="A56" s="29"/>
      <c r="B56" s="30"/>
      <c r="C56" s="22"/>
      <c r="D56" s="22"/>
      <c r="E56" s="31"/>
      <c r="F56" s="31"/>
      <c r="G56" s="31"/>
      <c r="H56" s="32"/>
    </row>
    <row r="57" spans="1:8" ht="18.75" x14ac:dyDescent="0.25">
      <c r="A57" s="29"/>
      <c r="B57" s="30"/>
      <c r="C57" s="22"/>
      <c r="D57" s="22"/>
      <c r="E57" s="31"/>
      <c r="F57" s="31"/>
      <c r="G57" s="31"/>
      <c r="H57" s="32"/>
    </row>
    <row r="63" spans="1:8" x14ac:dyDescent="0.25">
      <c r="A63" s="50">
        <f>F4</f>
        <v>5.9560715359182437</v>
      </c>
      <c r="B63" s="1">
        <f>G4</f>
        <v>0.22983941266438843</v>
      </c>
    </row>
    <row r="64" spans="1:8" x14ac:dyDescent="0.25">
      <c r="A64" s="50">
        <f>F7</f>
        <v>8.0185903216110592</v>
      </c>
      <c r="B64" s="1">
        <f>G7</f>
        <v>4.6944447891776764E-2</v>
      </c>
    </row>
    <row r="65" spans="1:2" x14ac:dyDescent="0.25">
      <c r="A65" s="50">
        <f>F10</f>
        <v>4.7086865043582797</v>
      </c>
      <c r="B65" s="1">
        <f>G10</f>
        <v>9.3290891732834974E-2</v>
      </c>
    </row>
    <row r="66" spans="1:2" x14ac:dyDescent="0.25">
      <c r="A66" s="50">
        <f>F16</f>
        <v>9.043267207694619</v>
      </c>
      <c r="B66" s="1">
        <f>G16</f>
        <v>2.5232942590922274E-2</v>
      </c>
    </row>
    <row r="67" spans="1:2" x14ac:dyDescent="0.25">
      <c r="A67" s="50">
        <f>F19</f>
        <v>7.4930868650435825</v>
      </c>
      <c r="B67" s="1">
        <f>G19</f>
        <v>0.16382964685662302</v>
      </c>
    </row>
    <row r="68" spans="1:2" x14ac:dyDescent="0.25">
      <c r="A68" s="50">
        <f>F22</f>
        <v>4.8589870754433413</v>
      </c>
      <c r="B68" s="1">
        <f>G22</f>
        <v>4.2758154334327308E-2</v>
      </c>
    </row>
    <row r="77" spans="1:2" x14ac:dyDescent="0.25">
      <c r="A77" s="50">
        <f>F13</f>
        <v>4.6900360685302065</v>
      </c>
      <c r="B77" s="1">
        <f>G13</f>
        <v>1.6456266907123318E-2</v>
      </c>
    </row>
    <row r="78" spans="1:2" x14ac:dyDescent="0.25">
      <c r="A78" s="50">
        <f>F25</f>
        <v>4.69990982867448</v>
      </c>
      <c r="B78" s="1">
        <f>G25</f>
        <v>6.2793112446742086E-2</v>
      </c>
    </row>
    <row r="79" spans="1:2" x14ac:dyDescent="0.25">
      <c r="A79" s="50">
        <f>F28</f>
        <v>0</v>
      </c>
      <c r="B79" s="1">
        <f>G28</f>
        <v>0</v>
      </c>
    </row>
    <row r="80" spans="1:2" x14ac:dyDescent="0.25">
      <c r="A80" s="50">
        <f>F31</f>
        <v>0</v>
      </c>
      <c r="B80" s="1">
        <f>G31</f>
        <v>0</v>
      </c>
    </row>
    <row r="81" spans="1:2" x14ac:dyDescent="0.25">
      <c r="A81" s="50">
        <f>F34</f>
        <v>0</v>
      </c>
      <c r="B81" s="1">
        <f>G34</f>
        <v>0</v>
      </c>
    </row>
    <row r="82" spans="1:2" x14ac:dyDescent="0.25">
      <c r="A82" s="50">
        <f>F37</f>
        <v>0</v>
      </c>
      <c r="B82" s="1">
        <f>G37</f>
        <v>0</v>
      </c>
    </row>
    <row r="88" spans="1:2" x14ac:dyDescent="0.25">
      <c r="A88" s="50">
        <f>F40</f>
        <v>0</v>
      </c>
      <c r="B88" s="1">
        <f>G40</f>
        <v>0</v>
      </c>
    </row>
    <row r="89" spans="1:2" x14ac:dyDescent="0.25">
      <c r="A89" s="50">
        <f>F43</f>
        <v>0</v>
      </c>
      <c r="B89" s="1">
        <f>G43</f>
        <v>0</v>
      </c>
    </row>
    <row r="90" spans="1:2" x14ac:dyDescent="0.25">
      <c r="A90" s="50">
        <f>F46</f>
        <v>0</v>
      </c>
      <c r="B90" s="1">
        <f>G46</f>
        <v>0</v>
      </c>
    </row>
    <row r="91" spans="1:2" x14ac:dyDescent="0.25">
      <c r="A91" s="50">
        <f>F49</f>
        <v>0</v>
      </c>
      <c r="B91" s="1">
        <f>G49</f>
        <v>0</v>
      </c>
    </row>
    <row r="92" spans="1:2" x14ac:dyDescent="0.25">
      <c r="A92" s="50">
        <f>F52</f>
        <v>0</v>
      </c>
      <c r="B92" s="1">
        <f>G52</f>
        <v>0</v>
      </c>
    </row>
    <row r="93" spans="1:2" x14ac:dyDescent="0.25">
      <c r="A93" s="50">
        <f>F55</f>
        <v>0</v>
      </c>
      <c r="B93" s="1">
        <f>G55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M29"/>
  <sheetViews>
    <sheetView workbookViewId="0">
      <selection activeCell="K8" sqref="K8"/>
    </sheetView>
  </sheetViews>
  <sheetFormatPr defaultRowHeight="15" x14ac:dyDescent="0.25"/>
  <cols>
    <col min="2" max="2" width="17" style="1" customWidth="1"/>
    <col min="3" max="3" width="13.42578125" customWidth="1"/>
    <col min="4" max="4" width="17.7109375" customWidth="1"/>
    <col min="5" max="5" width="10.85546875" customWidth="1"/>
    <col min="6" max="6" width="11" customWidth="1"/>
    <col min="10" max="10" width="14.140625" customWidth="1"/>
  </cols>
  <sheetData>
    <row r="2" spans="1:13" x14ac:dyDescent="0.25">
      <c r="J2" t="s">
        <v>61</v>
      </c>
    </row>
    <row r="3" spans="1:13" s="5" customFormat="1" ht="105" x14ac:dyDescent="0.25">
      <c r="A3" s="5" t="s">
        <v>48</v>
      </c>
      <c r="B3" s="51" t="s">
        <v>62</v>
      </c>
      <c r="C3" s="5" t="s">
        <v>63</v>
      </c>
      <c r="D3" s="5" t="s">
        <v>64</v>
      </c>
      <c r="E3" s="5" t="s">
        <v>65</v>
      </c>
      <c r="F3" s="5" t="s">
        <v>53</v>
      </c>
      <c r="G3" s="5" t="s">
        <v>47</v>
      </c>
      <c r="J3" s="5" t="s">
        <v>66</v>
      </c>
      <c r="K3" s="5" t="s">
        <v>67</v>
      </c>
    </row>
    <row r="4" spans="1:13" x14ac:dyDescent="0.25">
      <c r="A4" s="2" t="s">
        <v>29</v>
      </c>
      <c r="B4" s="1">
        <v>0</v>
      </c>
      <c r="C4">
        <f>(B4-$K$14)/$K$13</f>
        <v>0</v>
      </c>
      <c r="D4">
        <v>0</v>
      </c>
      <c r="E4" t="s">
        <v>56</v>
      </c>
      <c r="J4">
        <v>0</v>
      </c>
      <c r="K4">
        <v>0.13600000000000001</v>
      </c>
      <c r="L4">
        <v>0.127</v>
      </c>
      <c r="M4">
        <v>0.106</v>
      </c>
    </row>
    <row r="5" spans="1:13" x14ac:dyDescent="0.25">
      <c r="A5" s="2" t="s">
        <v>45</v>
      </c>
      <c r="E5" t="s">
        <v>68</v>
      </c>
    </row>
    <row r="6" spans="1:13" x14ac:dyDescent="0.25">
      <c r="A6" t="s">
        <v>7</v>
      </c>
      <c r="B6" s="1">
        <v>0.63400000000000001</v>
      </c>
      <c r="C6">
        <f t="shared" ref="C6:C15" si="0">(B6-$K$14)/$K$13</f>
        <v>3.947954902988986</v>
      </c>
      <c r="D6">
        <f>C6-$C$4</f>
        <v>3.947954902988986</v>
      </c>
      <c r="E6">
        <f>(0.0005/(0.001))*D6</f>
        <v>1.973977451494493</v>
      </c>
      <c r="F6">
        <f>AVERAGE(E6:E8)</f>
        <v>2.001999213424225</v>
      </c>
      <c r="G6">
        <f>STDEV(E6:E8)/SQRT(3)</f>
        <v>7.2374205571711883E-2</v>
      </c>
      <c r="J6">
        <v>1</v>
      </c>
      <c r="K6">
        <v>0.38600000000000001</v>
      </c>
      <c r="L6">
        <v>0.377</v>
      </c>
      <c r="M6">
        <v>0.36499999999999999</v>
      </c>
    </row>
    <row r="7" spans="1:13" x14ac:dyDescent="0.25">
      <c r="A7" t="s">
        <v>7</v>
      </c>
      <c r="B7" s="1">
        <v>0.68699999999999994</v>
      </c>
      <c r="C7">
        <f t="shared" si="0"/>
        <v>4.2779889879391684</v>
      </c>
      <c r="D7">
        <f t="shared" ref="D7:D29" si="1">C7-$C$4</f>
        <v>4.2779889879391684</v>
      </c>
      <c r="E7">
        <f t="shared" ref="E7:E29" si="2">(0.0005/(0.001))*D7</f>
        <v>2.1389944939695842</v>
      </c>
      <c r="J7">
        <v>2</v>
      </c>
      <c r="K7">
        <v>0.57299999999999995</v>
      </c>
      <c r="L7">
        <v>0.56000000000000005</v>
      </c>
      <c r="M7">
        <v>0.55700000000000005</v>
      </c>
    </row>
    <row r="8" spans="1:13" x14ac:dyDescent="0.25">
      <c r="A8" t="s">
        <v>7</v>
      </c>
      <c r="B8" s="1">
        <v>0.60799999999999998</v>
      </c>
      <c r="C8">
        <f t="shared" si="0"/>
        <v>3.7860513896171977</v>
      </c>
      <c r="D8">
        <f t="shared" si="1"/>
        <v>3.7860513896171977</v>
      </c>
      <c r="E8">
        <f t="shared" si="2"/>
        <v>1.8930256948085988</v>
      </c>
      <c r="J8">
        <v>4</v>
      </c>
      <c r="K8">
        <v>0.81699999999999995</v>
      </c>
      <c r="L8">
        <v>0.81</v>
      </c>
      <c r="M8">
        <v>0.80500000000000005</v>
      </c>
    </row>
    <row r="9" spans="1:13" x14ac:dyDescent="0.25">
      <c r="A9" t="s">
        <v>9</v>
      </c>
      <c r="B9" s="1">
        <v>0.57599999999999996</v>
      </c>
      <c r="C9">
        <f t="shared" si="0"/>
        <v>3.586785527005766</v>
      </c>
      <c r="D9">
        <f t="shared" si="1"/>
        <v>3.586785527005766</v>
      </c>
      <c r="E9">
        <f t="shared" si="2"/>
        <v>1.793392763502883</v>
      </c>
      <c r="F9">
        <f>AVERAGE(E9:E11)</f>
        <v>1.7767872749519302</v>
      </c>
      <c r="G9">
        <f>STDEV(E9:E11)/SQRT(3)</f>
        <v>8.3027442754763196E-3</v>
      </c>
      <c r="J9">
        <v>6</v>
      </c>
      <c r="K9">
        <v>0.95799999999999996</v>
      </c>
      <c r="L9">
        <v>0.95299999999999996</v>
      </c>
      <c r="M9">
        <v>0.94799999999999995</v>
      </c>
    </row>
    <row r="10" spans="1:13" x14ac:dyDescent="0.25">
      <c r="A10" t="s">
        <v>9</v>
      </c>
      <c r="B10" s="1">
        <v>0.56799999999999995</v>
      </c>
      <c r="C10">
        <f t="shared" si="0"/>
        <v>3.5369690613529081</v>
      </c>
      <c r="D10">
        <f t="shared" si="1"/>
        <v>3.5369690613529081</v>
      </c>
      <c r="E10">
        <f t="shared" si="2"/>
        <v>1.7684845306764541</v>
      </c>
      <c r="J10">
        <v>8</v>
      </c>
      <c r="K10">
        <v>1.702</v>
      </c>
      <c r="L10">
        <v>1.702</v>
      </c>
      <c r="M10">
        <v>1.702</v>
      </c>
    </row>
    <row r="11" spans="1:13" x14ac:dyDescent="0.25">
      <c r="A11" t="s">
        <v>9</v>
      </c>
      <c r="B11" s="1">
        <v>0.56799999999999995</v>
      </c>
      <c r="C11">
        <f t="shared" si="0"/>
        <v>3.5369690613529081</v>
      </c>
      <c r="D11">
        <f t="shared" si="1"/>
        <v>3.5369690613529081</v>
      </c>
      <c r="E11">
        <f t="shared" si="2"/>
        <v>1.7684845306764541</v>
      </c>
    </row>
    <row r="12" spans="1:13" x14ac:dyDescent="0.25">
      <c r="A12" t="s">
        <v>10</v>
      </c>
      <c r="B12" s="1">
        <v>0.92800000000000005</v>
      </c>
      <c r="C12">
        <f t="shared" si="0"/>
        <v>5.7787100157315123</v>
      </c>
      <c r="D12">
        <f t="shared" si="1"/>
        <v>5.7787100157315123</v>
      </c>
      <c r="E12">
        <f t="shared" si="2"/>
        <v>2.8893550078657562</v>
      </c>
      <c r="F12">
        <f>AVERAGE(E12:E14)</f>
        <v>2.9256795140709655</v>
      </c>
      <c r="G12">
        <f>STDEV(E12:E14)/SQRT(3)</f>
        <v>2.6193973935758064E-2</v>
      </c>
      <c r="J12" t="s">
        <v>59</v>
      </c>
      <c r="K12">
        <f>SLOPE(K4:K11,J4:J11)</f>
        <v>0.17183157894736839</v>
      </c>
    </row>
    <row r="13" spans="1:13" x14ac:dyDescent="0.25">
      <c r="A13" t="s">
        <v>10</v>
      </c>
      <c r="B13" s="1">
        <v>0.93500000000000005</v>
      </c>
      <c r="C13">
        <f t="shared" si="0"/>
        <v>5.8222994231777632</v>
      </c>
      <c r="D13">
        <f t="shared" si="1"/>
        <v>5.8222994231777632</v>
      </c>
      <c r="E13">
        <f t="shared" si="2"/>
        <v>2.9111497115888816</v>
      </c>
      <c r="J13" t="s">
        <v>60</v>
      </c>
      <c r="K13">
        <f>INTERCEPT(K4:K11,J4:J11)</f>
        <v>0.16058947368421062</v>
      </c>
    </row>
    <row r="14" spans="1:13" x14ac:dyDescent="0.25">
      <c r="A14" t="s">
        <v>10</v>
      </c>
      <c r="B14" s="1">
        <v>0.95599999999999996</v>
      </c>
      <c r="C14">
        <f t="shared" si="0"/>
        <v>5.9530676455165148</v>
      </c>
      <c r="D14">
        <f t="shared" si="1"/>
        <v>5.9530676455165148</v>
      </c>
      <c r="E14">
        <f t="shared" si="2"/>
        <v>2.9765338227582574</v>
      </c>
    </row>
    <row r="15" spans="1:13" x14ac:dyDescent="0.25">
      <c r="A15" t="s">
        <v>14</v>
      </c>
      <c r="B15" s="1">
        <v>0.59399999999999997</v>
      </c>
      <c r="C15">
        <f t="shared" si="0"/>
        <v>3.6988725747246964</v>
      </c>
      <c r="D15">
        <f>C15-$C$4</f>
        <v>3.6988725747246964</v>
      </c>
      <c r="E15">
        <f>(0.0005/(0.001))*D15</f>
        <v>1.8494362873623482</v>
      </c>
      <c r="F15">
        <f>AVERAGE(E15,E17)</f>
        <v>1.8478795228106963</v>
      </c>
      <c r="G15">
        <f>STDEV(E15,E17)/SQRT(2)</f>
        <v>1.5567645516518789E-3</v>
      </c>
    </row>
    <row r="16" spans="1:13" x14ac:dyDescent="0.25">
      <c r="A16" t="s">
        <v>14</v>
      </c>
    </row>
    <row r="17" spans="1:7" x14ac:dyDescent="0.25">
      <c r="A17" t="s">
        <v>14</v>
      </c>
      <c r="B17" s="1">
        <v>0.59299999999999997</v>
      </c>
      <c r="C17">
        <f t="shared" ref="C17:C29" si="3">(B17-$K$14)/$K$13</f>
        <v>3.6926455165180889</v>
      </c>
      <c r="D17">
        <f>C17-$C$4</f>
        <v>3.6926455165180889</v>
      </c>
      <c r="E17">
        <f>(0.0005/(0.001))*D17</f>
        <v>1.8463227582590445</v>
      </c>
    </row>
    <row r="18" spans="1:7" x14ac:dyDescent="0.25">
      <c r="A18" t="s">
        <v>11</v>
      </c>
      <c r="B18" s="1">
        <v>0.72499999999999998</v>
      </c>
      <c r="C18">
        <f t="shared" si="3"/>
        <v>4.5146171997902442</v>
      </c>
      <c r="D18">
        <f t="shared" si="1"/>
        <v>4.5146171997902442</v>
      </c>
      <c r="E18">
        <f t="shared" si="2"/>
        <v>2.2573085998951221</v>
      </c>
      <c r="F18">
        <f t="shared" ref="F18" si="4">AVERAGE(E18:E20)</f>
        <v>2.224097622793217</v>
      </c>
      <c r="G18">
        <f t="shared" ref="G18" si="5">STDEV(E18:E20)/SQRT(3)</f>
        <v>1.6702502941421515E-2</v>
      </c>
    </row>
    <row r="19" spans="1:7" x14ac:dyDescent="0.25">
      <c r="A19" t="s">
        <v>11</v>
      </c>
      <c r="B19" s="1">
        <v>0.71</v>
      </c>
      <c r="C19">
        <f t="shared" si="3"/>
        <v>4.421211326691135</v>
      </c>
      <c r="D19">
        <f t="shared" si="1"/>
        <v>4.421211326691135</v>
      </c>
      <c r="E19">
        <f t="shared" si="2"/>
        <v>2.2106056633455675</v>
      </c>
    </row>
    <row r="20" spans="1:7" x14ac:dyDescent="0.25">
      <c r="A20" t="s">
        <v>11</v>
      </c>
      <c r="B20" s="1">
        <v>0.70799999999999996</v>
      </c>
      <c r="C20">
        <f t="shared" si="3"/>
        <v>4.4087572102779209</v>
      </c>
      <c r="D20">
        <f t="shared" si="1"/>
        <v>4.4087572102779209</v>
      </c>
      <c r="E20">
        <f t="shared" si="2"/>
        <v>2.2043786051389604</v>
      </c>
    </row>
    <row r="21" spans="1:7" x14ac:dyDescent="0.25">
      <c r="A21" t="s">
        <v>12</v>
      </c>
      <c r="B21" s="1">
        <v>0.52600000000000002</v>
      </c>
      <c r="C21">
        <f t="shared" si="3"/>
        <v>3.2754326166754049</v>
      </c>
      <c r="D21">
        <f t="shared" si="1"/>
        <v>3.2754326166754049</v>
      </c>
      <c r="E21">
        <f t="shared" si="2"/>
        <v>1.6377163083377024</v>
      </c>
      <c r="F21">
        <f t="shared" ref="F21" si="6">AVERAGE(E21:E23)</f>
        <v>1.6750786575773458</v>
      </c>
      <c r="G21">
        <f t="shared" ref="G21" si="7">STDEV(E21:E23)/SQRT(3)</f>
        <v>6.5630751468599202E-2</v>
      </c>
    </row>
    <row r="22" spans="1:7" x14ac:dyDescent="0.25">
      <c r="A22" t="s">
        <v>12</v>
      </c>
      <c r="B22" s="1">
        <v>0.50900000000000001</v>
      </c>
      <c r="C22">
        <f t="shared" si="3"/>
        <v>3.1695726271630815</v>
      </c>
      <c r="D22">
        <f t="shared" si="1"/>
        <v>3.1695726271630815</v>
      </c>
      <c r="E22">
        <f t="shared" si="2"/>
        <v>1.5847863135815408</v>
      </c>
    </row>
    <row r="23" spans="1:7" x14ac:dyDescent="0.25">
      <c r="A23" t="s">
        <v>12</v>
      </c>
      <c r="B23" s="1">
        <v>0.57899999999999996</v>
      </c>
      <c r="C23">
        <f t="shared" si="3"/>
        <v>3.6054667016255877</v>
      </c>
      <c r="D23">
        <f t="shared" si="1"/>
        <v>3.6054667016255877</v>
      </c>
      <c r="E23">
        <f t="shared" si="2"/>
        <v>1.8027333508127938</v>
      </c>
    </row>
    <row r="24" spans="1:7" x14ac:dyDescent="0.25">
      <c r="A24" t="s">
        <v>13</v>
      </c>
      <c r="B24" s="1">
        <v>0.61</v>
      </c>
      <c r="C24">
        <f t="shared" si="3"/>
        <v>3.7985055060304123</v>
      </c>
      <c r="D24">
        <f t="shared" si="1"/>
        <v>3.7985055060304123</v>
      </c>
      <c r="E24">
        <f t="shared" si="2"/>
        <v>1.8992527530152061</v>
      </c>
      <c r="F24">
        <f t="shared" ref="F24" si="8">AVERAGE(E24:E26)</f>
        <v>1.8598147177066935</v>
      </c>
      <c r="G24">
        <f t="shared" ref="G24" si="9">STDEV(E24:E26)/SQRT(3)</f>
        <v>2.7925500010312999E-2</v>
      </c>
    </row>
    <row r="25" spans="1:7" x14ac:dyDescent="0.25">
      <c r="A25" t="s">
        <v>13</v>
      </c>
      <c r="B25" s="1">
        <v>0.60199999999999998</v>
      </c>
      <c r="C25">
        <f t="shared" si="3"/>
        <v>3.7486890403775543</v>
      </c>
      <c r="D25">
        <f t="shared" si="1"/>
        <v>3.7486890403775543</v>
      </c>
      <c r="E25">
        <f t="shared" si="2"/>
        <v>1.8743445201887772</v>
      </c>
    </row>
    <row r="26" spans="1:7" x14ac:dyDescent="0.25">
      <c r="A26" t="s">
        <v>13</v>
      </c>
      <c r="B26" s="1">
        <v>0.57999999999999996</v>
      </c>
      <c r="C26">
        <f t="shared" si="3"/>
        <v>3.6116937598321948</v>
      </c>
      <c r="D26">
        <f t="shared" si="1"/>
        <v>3.6116937598321948</v>
      </c>
      <c r="E26">
        <f t="shared" si="2"/>
        <v>1.8058468799160974</v>
      </c>
    </row>
    <row r="27" spans="1:7" x14ac:dyDescent="0.25">
      <c r="A27" t="s">
        <v>15</v>
      </c>
      <c r="B27" s="1">
        <v>0.58099999999999996</v>
      </c>
      <c r="C27">
        <f t="shared" si="3"/>
        <v>3.6179208180388023</v>
      </c>
      <c r="D27">
        <f t="shared" si="1"/>
        <v>3.6179208180388023</v>
      </c>
      <c r="E27">
        <f t="shared" si="2"/>
        <v>1.8089604090194011</v>
      </c>
      <c r="F27">
        <f t="shared" ref="F27" si="10">AVERAGE(E27:E29)</f>
        <v>1.8193388393637466</v>
      </c>
      <c r="G27">
        <f t="shared" ref="G27" si="11">STDEV(E27:E29)/SQRT(3)</f>
        <v>8.8673347732604046E-3</v>
      </c>
    </row>
    <row r="28" spans="1:7" x14ac:dyDescent="0.25">
      <c r="A28" t="s">
        <v>15</v>
      </c>
      <c r="B28" s="1">
        <v>0.58199999999999996</v>
      </c>
      <c r="C28">
        <f t="shared" si="3"/>
        <v>3.6241478762454093</v>
      </c>
      <c r="D28">
        <f t="shared" si="1"/>
        <v>3.6241478762454093</v>
      </c>
      <c r="E28">
        <f t="shared" si="2"/>
        <v>1.8120739381227047</v>
      </c>
    </row>
    <row r="29" spans="1:7" x14ac:dyDescent="0.25">
      <c r="A29" t="s">
        <v>15</v>
      </c>
      <c r="B29" s="1">
        <v>0.59</v>
      </c>
      <c r="C29">
        <f t="shared" si="3"/>
        <v>3.6739643418982673</v>
      </c>
      <c r="D29">
        <f t="shared" si="1"/>
        <v>3.6739643418982673</v>
      </c>
      <c r="E29">
        <f t="shared" si="2"/>
        <v>1.8369821709491336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29"/>
  <sheetViews>
    <sheetView workbookViewId="0">
      <selection activeCell="J2" sqref="J2"/>
    </sheetView>
  </sheetViews>
  <sheetFormatPr defaultRowHeight="15" x14ac:dyDescent="0.25"/>
  <cols>
    <col min="2" max="2" width="17" customWidth="1"/>
    <col min="3" max="3" width="13.42578125" customWidth="1"/>
    <col min="4" max="4" width="17.7109375" customWidth="1"/>
    <col min="5" max="5" width="10.85546875" customWidth="1"/>
    <col min="6" max="6" width="11" customWidth="1"/>
    <col min="10" max="10" width="14.140625" customWidth="1"/>
  </cols>
  <sheetData>
    <row r="2" spans="1:11" x14ac:dyDescent="0.25">
      <c r="J2" t="s">
        <v>61</v>
      </c>
    </row>
    <row r="3" spans="1:11" s="5" customFormat="1" ht="62.25" x14ac:dyDescent="0.25">
      <c r="A3" s="5" t="s">
        <v>48</v>
      </c>
      <c r="B3" s="5" t="s">
        <v>69</v>
      </c>
      <c r="C3" s="5" t="s">
        <v>70</v>
      </c>
      <c r="D3" s="5" t="s">
        <v>71</v>
      </c>
      <c r="E3" s="5" t="s">
        <v>65</v>
      </c>
      <c r="F3" s="5" t="s">
        <v>53</v>
      </c>
      <c r="G3" s="5" t="s">
        <v>47</v>
      </c>
      <c r="J3" s="5" t="s">
        <v>72</v>
      </c>
      <c r="K3" s="5" t="s">
        <v>67</v>
      </c>
    </row>
    <row r="4" spans="1:11" x14ac:dyDescent="0.25">
      <c r="A4" s="2" t="s">
        <v>29</v>
      </c>
      <c r="B4">
        <v>0</v>
      </c>
      <c r="C4">
        <v>0</v>
      </c>
      <c r="D4">
        <v>0</v>
      </c>
      <c r="E4" t="s">
        <v>56</v>
      </c>
      <c r="J4">
        <v>0</v>
      </c>
      <c r="K4">
        <v>9.3333333333333324E-3</v>
      </c>
    </row>
    <row r="5" spans="1:11" x14ac:dyDescent="0.25">
      <c r="A5" s="2" t="s">
        <v>45</v>
      </c>
      <c r="E5" t="s">
        <v>73</v>
      </c>
    </row>
    <row r="6" spans="1:11" x14ac:dyDescent="0.25">
      <c r="A6" t="s">
        <v>8</v>
      </c>
      <c r="B6">
        <v>0.62</v>
      </c>
      <c r="C6">
        <f t="shared" ref="C6:C15" si="0">(B6-$K$14)/$K$13</f>
        <v>1.4397478782517343</v>
      </c>
      <c r="D6">
        <f>C6-$C$4</f>
        <v>1.4397478782517343</v>
      </c>
      <c r="E6">
        <f>(0.0005/(0.001))*D6</f>
        <v>0.71987393912586717</v>
      </c>
      <c r="F6">
        <f>AVERAGE(E6:E8)</f>
        <v>0.75857683907887064</v>
      </c>
      <c r="G6">
        <f>STDEV(E6:E8)/SQRT(3)</f>
        <v>2.3542054964801093E-2</v>
      </c>
      <c r="J6">
        <v>1</v>
      </c>
      <c r="K6">
        <v>0.93033333333333346</v>
      </c>
    </row>
    <row r="7" spans="1:11" x14ac:dyDescent="0.25">
      <c r="A7" t="s">
        <v>8</v>
      </c>
      <c r="B7">
        <v>0.69</v>
      </c>
      <c r="C7">
        <f t="shared" si="0"/>
        <v>1.6023000580543494</v>
      </c>
      <c r="D7">
        <f t="shared" ref="D7:D29" si="1">C7-$C$4</f>
        <v>1.6023000580543494</v>
      </c>
      <c r="E7">
        <f t="shared" ref="E7:E29" si="2">(0.0005/(0.001))*D7</f>
        <v>0.80115002902717469</v>
      </c>
      <c r="J7">
        <v>2</v>
      </c>
      <c r="K7">
        <v>1.2270000000000001</v>
      </c>
    </row>
    <row r="8" spans="1:11" x14ac:dyDescent="0.25">
      <c r="A8" t="s">
        <v>8</v>
      </c>
      <c r="B8">
        <v>0.65</v>
      </c>
      <c r="C8">
        <f t="shared" si="0"/>
        <v>1.5094130981671408</v>
      </c>
      <c r="D8">
        <f t="shared" si="1"/>
        <v>1.5094130981671408</v>
      </c>
      <c r="E8">
        <f t="shared" si="2"/>
        <v>0.75470654908357038</v>
      </c>
      <c r="J8">
        <v>5</v>
      </c>
      <c r="K8">
        <v>1.381</v>
      </c>
    </row>
    <row r="9" spans="1:11" x14ac:dyDescent="0.25">
      <c r="A9" t="s">
        <v>9</v>
      </c>
      <c r="B9">
        <v>0.59699999999999998</v>
      </c>
      <c r="C9">
        <f t="shared" si="0"/>
        <v>1.3863378763165892</v>
      </c>
      <c r="D9">
        <f t="shared" si="1"/>
        <v>1.3863378763165892</v>
      </c>
      <c r="E9">
        <f t="shared" si="2"/>
        <v>0.69316893815829461</v>
      </c>
      <c r="F9">
        <f>AVERAGE(E9:E11)</f>
        <v>0.66994719818649251</v>
      </c>
      <c r="G9">
        <f>STDEV(E9:E11)/SQRT(3)</f>
        <v>1.1916471426576135E-2</v>
      </c>
    </row>
    <row r="10" spans="1:11" x14ac:dyDescent="0.25">
      <c r="A10" t="s">
        <v>9</v>
      </c>
      <c r="B10">
        <v>0.56299999999999994</v>
      </c>
      <c r="C10">
        <f t="shared" si="0"/>
        <v>1.3073839604124617</v>
      </c>
      <c r="D10">
        <f t="shared" si="1"/>
        <v>1.3073839604124617</v>
      </c>
      <c r="E10">
        <f t="shared" si="2"/>
        <v>0.65369198020623087</v>
      </c>
    </row>
    <row r="11" spans="1:11" x14ac:dyDescent="0.25">
      <c r="A11" t="s">
        <v>9</v>
      </c>
      <c r="B11">
        <v>0.57099999999999995</v>
      </c>
      <c r="C11">
        <f t="shared" si="0"/>
        <v>1.3259613523899036</v>
      </c>
      <c r="D11">
        <f t="shared" si="1"/>
        <v>1.3259613523899036</v>
      </c>
      <c r="E11">
        <f t="shared" si="2"/>
        <v>0.66298067619495182</v>
      </c>
    </row>
    <row r="12" spans="1:11" x14ac:dyDescent="0.25">
      <c r="A12" t="s">
        <v>10</v>
      </c>
      <c r="B12">
        <v>0.51</v>
      </c>
      <c r="C12">
        <f t="shared" si="0"/>
        <v>1.1843087385619104</v>
      </c>
      <c r="D12">
        <f t="shared" si="1"/>
        <v>1.1843087385619104</v>
      </c>
      <c r="E12">
        <f t="shared" si="2"/>
        <v>0.59215436928095522</v>
      </c>
      <c r="F12">
        <f>AVERAGE(E12:E14)</f>
        <v>0.62156857324523795</v>
      </c>
      <c r="G12">
        <f>STDEV(E12:E14)/SQRT(3)</f>
        <v>2.0827770619968662E-2</v>
      </c>
      <c r="J12" t="s">
        <v>59</v>
      </c>
      <c r="K12">
        <f>SLOPE(K4:K11,J4:J11)</f>
        <v>0.22814285714285715</v>
      </c>
    </row>
    <row r="13" spans="1:11" x14ac:dyDescent="0.25">
      <c r="A13" t="s">
        <v>10</v>
      </c>
      <c r="B13">
        <v>0.52600000000000002</v>
      </c>
      <c r="C13">
        <f t="shared" si="0"/>
        <v>1.221463522516794</v>
      </c>
      <c r="D13">
        <f t="shared" si="1"/>
        <v>1.221463522516794</v>
      </c>
      <c r="E13">
        <f t="shared" si="2"/>
        <v>0.61073176125839701</v>
      </c>
      <c r="J13" t="s">
        <v>60</v>
      </c>
      <c r="K13">
        <f>INTERCEPT(K4:K11,J4:J11)</f>
        <v>0.4306309523809525</v>
      </c>
    </row>
    <row r="14" spans="1:11" x14ac:dyDescent="0.25">
      <c r="A14" t="s">
        <v>10</v>
      </c>
      <c r="B14">
        <v>0.56999999999999995</v>
      </c>
      <c r="C14">
        <f t="shared" si="0"/>
        <v>1.3236391783927233</v>
      </c>
      <c r="D14">
        <f t="shared" si="1"/>
        <v>1.3236391783927233</v>
      </c>
      <c r="E14">
        <f t="shared" si="2"/>
        <v>0.66181958919636164</v>
      </c>
    </row>
    <row r="15" spans="1:11" x14ac:dyDescent="0.25">
      <c r="A15" t="s">
        <v>14</v>
      </c>
      <c r="B15">
        <v>0.54600000000000004</v>
      </c>
      <c r="C15">
        <f t="shared" si="0"/>
        <v>1.2679070024603984</v>
      </c>
      <c r="D15">
        <f>C15-$C$4</f>
        <v>1.2679070024603984</v>
      </c>
      <c r="E15">
        <f>(0.0005/(0.001))*D15</f>
        <v>0.63395350123019922</v>
      </c>
      <c r="F15">
        <f>AVERAGE(E15,E17)</f>
        <v>0.63569513172808434</v>
      </c>
      <c r="G15">
        <f>STDEV(E15,E17)/SQRT(2)</f>
        <v>1.7416304978851713E-3</v>
      </c>
    </row>
    <row r="16" spans="1:11" x14ac:dyDescent="0.25">
      <c r="A16" t="s">
        <v>14</v>
      </c>
    </row>
    <row r="17" spans="1:7" x14ac:dyDescent="0.25">
      <c r="A17" t="s">
        <v>14</v>
      </c>
      <c r="B17">
        <v>0.54900000000000004</v>
      </c>
      <c r="C17">
        <f t="shared" ref="C17:C29" si="3">(B17-$K$14)/$K$13</f>
        <v>1.2748735244519391</v>
      </c>
      <c r="D17">
        <f>C17-$C$4</f>
        <v>1.2748735244519391</v>
      </c>
      <c r="E17">
        <f>(0.0005/(0.001))*D17</f>
        <v>0.63743676222596957</v>
      </c>
    </row>
    <row r="18" spans="1:7" x14ac:dyDescent="0.25">
      <c r="A18" t="s">
        <v>11</v>
      </c>
      <c r="B18">
        <v>0.72099999999999997</v>
      </c>
      <c r="C18">
        <f t="shared" si="3"/>
        <v>1.6742874519669362</v>
      </c>
      <c r="D18">
        <f t="shared" si="1"/>
        <v>1.6742874519669362</v>
      </c>
      <c r="E18">
        <f t="shared" si="2"/>
        <v>0.83714372598346809</v>
      </c>
      <c r="F18">
        <f t="shared" ref="F18" si="4">AVERAGE(E18:E20)</f>
        <v>0.88707046692284275</v>
      </c>
      <c r="G18">
        <f t="shared" ref="G18" si="5">STDEV(E18:E20)/SQRT(3)</f>
        <v>2.4983613779246978E-2</v>
      </c>
    </row>
    <row r="19" spans="1:7" x14ac:dyDescent="0.25">
      <c r="A19" t="s">
        <v>11</v>
      </c>
      <c r="B19">
        <v>0.78400000000000003</v>
      </c>
      <c r="C19">
        <f t="shared" si="3"/>
        <v>1.8205844137892899</v>
      </c>
      <c r="D19">
        <f t="shared" si="1"/>
        <v>1.8205844137892899</v>
      </c>
      <c r="E19">
        <f t="shared" si="2"/>
        <v>0.91029220689464496</v>
      </c>
    </row>
    <row r="20" spans="1:7" x14ac:dyDescent="0.25">
      <c r="A20" t="s">
        <v>11</v>
      </c>
      <c r="B20">
        <v>0.78700000000000003</v>
      </c>
      <c r="C20">
        <f t="shared" si="3"/>
        <v>1.8275509357808306</v>
      </c>
      <c r="D20">
        <f t="shared" si="1"/>
        <v>1.8275509357808306</v>
      </c>
      <c r="E20">
        <f t="shared" si="2"/>
        <v>0.9137754678904153</v>
      </c>
    </row>
    <row r="21" spans="1:7" x14ac:dyDescent="0.25">
      <c r="A21" t="s">
        <v>12</v>
      </c>
      <c r="B21">
        <v>0.81300000000000006</v>
      </c>
      <c r="C21">
        <f t="shared" si="3"/>
        <v>1.8879274597075162</v>
      </c>
      <c r="D21">
        <f t="shared" si="1"/>
        <v>1.8879274597075162</v>
      </c>
      <c r="E21">
        <f t="shared" si="2"/>
        <v>0.94396372985375809</v>
      </c>
      <c r="F21">
        <f t="shared" ref="F21" si="6">AVERAGE(E21:E23)</f>
        <v>0.95054322284576853</v>
      </c>
      <c r="G21">
        <f t="shared" ref="G21" si="7">STDEV(E21:E23)/SQRT(3)</f>
        <v>4.040701382930497E-3</v>
      </c>
    </row>
    <row r="22" spans="1:7" x14ac:dyDescent="0.25">
      <c r="A22" t="s">
        <v>12</v>
      </c>
      <c r="B22">
        <v>0.81799999999999995</v>
      </c>
      <c r="C22">
        <f t="shared" si="3"/>
        <v>1.8995383296934172</v>
      </c>
      <c r="D22">
        <f t="shared" si="1"/>
        <v>1.8995383296934172</v>
      </c>
      <c r="E22">
        <f t="shared" si="2"/>
        <v>0.94976916484670859</v>
      </c>
    </row>
    <row r="23" spans="1:7" x14ac:dyDescent="0.25">
      <c r="A23" t="s">
        <v>12</v>
      </c>
      <c r="B23">
        <v>0.82499999999999984</v>
      </c>
      <c r="C23">
        <f t="shared" si="3"/>
        <v>1.9157935476736783</v>
      </c>
      <c r="D23">
        <f t="shared" si="1"/>
        <v>1.9157935476736783</v>
      </c>
      <c r="E23">
        <f t="shared" si="2"/>
        <v>0.95789677383683913</v>
      </c>
    </row>
    <row r="24" spans="1:7" x14ac:dyDescent="0.25">
      <c r="A24" t="s">
        <v>13</v>
      </c>
      <c r="B24">
        <v>0.56499999999999995</v>
      </c>
      <c r="C24">
        <f t="shared" si="3"/>
        <v>1.3120283084068223</v>
      </c>
      <c r="D24">
        <f t="shared" si="1"/>
        <v>1.3120283084068223</v>
      </c>
      <c r="E24">
        <f t="shared" si="2"/>
        <v>0.65601415420341114</v>
      </c>
      <c r="F24">
        <f t="shared" ref="F24" si="8">AVERAGE(E24:E26)</f>
        <v>0.66027147319824164</v>
      </c>
      <c r="G24">
        <f t="shared" ref="G24" si="9">STDEV(E24:E26)/SQRT(3)</f>
        <v>2.3542054964801121E-3</v>
      </c>
    </row>
    <row r="25" spans="1:7" x14ac:dyDescent="0.25">
      <c r="A25" t="s">
        <v>13</v>
      </c>
      <c r="B25">
        <v>0.56899999999999995</v>
      </c>
      <c r="C25">
        <f t="shared" si="3"/>
        <v>1.3213170043955431</v>
      </c>
      <c r="D25">
        <f t="shared" si="1"/>
        <v>1.3213170043955431</v>
      </c>
      <c r="E25">
        <f t="shared" si="2"/>
        <v>0.66065850219777156</v>
      </c>
    </row>
    <row r="26" spans="1:7" x14ac:dyDescent="0.25">
      <c r="A26" t="s">
        <v>13</v>
      </c>
      <c r="B26">
        <v>0.57199999999999995</v>
      </c>
      <c r="C26">
        <f t="shared" si="3"/>
        <v>1.3282835263870838</v>
      </c>
      <c r="D26">
        <f t="shared" si="1"/>
        <v>1.3282835263870838</v>
      </c>
      <c r="E26">
        <f t="shared" si="2"/>
        <v>0.6641417631935419</v>
      </c>
    </row>
    <row r="27" spans="1:7" x14ac:dyDescent="0.25">
      <c r="A27" t="s">
        <v>15</v>
      </c>
      <c r="B27">
        <v>0.83899999999999997</v>
      </c>
      <c r="C27">
        <f t="shared" si="3"/>
        <v>1.9483039836342018</v>
      </c>
      <c r="D27">
        <f t="shared" si="1"/>
        <v>1.9483039836342018</v>
      </c>
      <c r="E27">
        <f t="shared" si="2"/>
        <v>0.97415199181710088</v>
      </c>
      <c r="F27">
        <f t="shared" ref="F27" si="10">AVERAGE(E27:E29)</f>
        <v>0.98227960080723165</v>
      </c>
      <c r="G27">
        <f t="shared" ref="G27" si="11">STDEV(E27:E29)/SQRT(3)</f>
        <v>2.8114933097204618E-2</v>
      </c>
    </row>
    <row r="28" spans="1:7" x14ac:dyDescent="0.25">
      <c r="A28" t="s">
        <v>15</v>
      </c>
      <c r="B28">
        <v>0.80800000000000005</v>
      </c>
      <c r="C28">
        <f t="shared" si="3"/>
        <v>1.8763165897216152</v>
      </c>
      <c r="D28">
        <f t="shared" si="1"/>
        <v>1.8763165897216152</v>
      </c>
      <c r="E28">
        <f t="shared" si="2"/>
        <v>0.9381582948608076</v>
      </c>
    </row>
    <row r="29" spans="1:7" x14ac:dyDescent="0.25">
      <c r="A29" t="s">
        <v>15</v>
      </c>
      <c r="B29">
        <v>0.89100000000000001</v>
      </c>
      <c r="C29">
        <f t="shared" si="3"/>
        <v>2.0690570314875729</v>
      </c>
      <c r="D29">
        <f t="shared" si="1"/>
        <v>2.0690570314875729</v>
      </c>
      <c r="E29">
        <f t="shared" si="2"/>
        <v>1.0345285157437865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zoomScale="90" zoomScaleNormal="90" workbookViewId="0">
      <selection activeCell="A3" sqref="A3"/>
    </sheetView>
  </sheetViews>
  <sheetFormatPr defaultRowHeight="15" x14ac:dyDescent="0.25"/>
  <cols>
    <col min="1" max="1" width="11.5703125" style="14" customWidth="1"/>
    <col min="2" max="2" width="16" customWidth="1"/>
    <col min="3" max="3" width="20.140625" customWidth="1"/>
    <col min="4" max="4" width="22" customWidth="1"/>
    <col min="5" max="8" width="15.85546875" customWidth="1"/>
    <col min="9" max="9" width="9" customWidth="1"/>
    <col min="10" max="10" width="20.28515625" customWidth="1"/>
    <col min="11" max="11" width="16.140625" customWidth="1"/>
    <col min="12" max="12" width="12.140625" customWidth="1"/>
    <col min="13" max="13" width="13.7109375" customWidth="1"/>
    <col min="14" max="14" width="10.140625" customWidth="1"/>
    <col min="15" max="15" width="0" hidden="1" customWidth="1"/>
  </cols>
  <sheetData>
    <row r="1" spans="1:14" ht="30" customHeight="1" x14ac:dyDescent="0.25">
      <c r="A1" s="52"/>
      <c r="E1" s="53"/>
      <c r="F1" s="53"/>
      <c r="G1" s="53"/>
      <c r="H1" s="53"/>
      <c r="J1" s="54"/>
      <c r="K1" s="54"/>
    </row>
    <row r="2" spans="1:14" ht="32.25" customHeight="1" x14ac:dyDescent="0.25">
      <c r="A2" s="61"/>
      <c r="B2" s="61"/>
      <c r="C2" s="61"/>
      <c r="D2" s="61"/>
      <c r="E2" s="55"/>
      <c r="F2" s="55"/>
      <c r="G2" s="55"/>
      <c r="H2" s="55"/>
      <c r="I2" s="56"/>
      <c r="J2" s="24"/>
      <c r="K2" s="24"/>
    </row>
    <row r="3" spans="1:14" ht="24" customHeight="1" x14ac:dyDescent="0.35">
      <c r="E3" s="57"/>
      <c r="F3" s="58"/>
      <c r="G3" s="58"/>
      <c r="H3" s="58"/>
      <c r="J3" s="62" t="s">
        <v>61</v>
      </c>
      <c r="K3" s="62"/>
    </row>
    <row r="4" spans="1:14" ht="63" x14ac:dyDescent="0.25">
      <c r="A4" s="17" t="s">
        <v>48</v>
      </c>
      <c r="B4" s="18" t="s">
        <v>49</v>
      </c>
      <c r="C4" s="18" t="s">
        <v>50</v>
      </c>
      <c r="D4" s="18" t="s">
        <v>51</v>
      </c>
      <c r="E4" s="18" t="s">
        <v>52</v>
      </c>
      <c r="F4" s="18" t="s">
        <v>53</v>
      </c>
      <c r="G4" s="18" t="s">
        <v>47</v>
      </c>
      <c r="H4" s="19"/>
      <c r="I4" s="5"/>
      <c r="J4" s="18" t="s">
        <v>54</v>
      </c>
      <c r="K4" s="18" t="s">
        <v>55</v>
      </c>
      <c r="L4" s="20"/>
      <c r="M4" s="20"/>
      <c r="N4" s="5"/>
    </row>
    <row r="5" spans="1:14" ht="18.75" x14ac:dyDescent="0.25">
      <c r="A5" s="17" t="s">
        <v>29</v>
      </c>
      <c r="B5" s="21">
        <v>0</v>
      </c>
      <c r="C5" s="22">
        <f>(B5-$K$14)/$K$13</f>
        <v>0.5437775749277346</v>
      </c>
      <c r="D5" s="23" t="s">
        <v>56</v>
      </c>
      <c r="E5" s="18" t="s">
        <v>56</v>
      </c>
      <c r="F5" s="18"/>
      <c r="G5" s="18"/>
      <c r="H5" s="19"/>
      <c r="I5" s="24"/>
      <c r="J5" s="25">
        <v>1</v>
      </c>
      <c r="K5" s="26">
        <v>0.126</v>
      </c>
      <c r="L5" s="27"/>
      <c r="M5" s="28"/>
      <c r="N5" s="5"/>
    </row>
    <row r="6" spans="1:14" ht="18.75" x14ac:dyDescent="0.25">
      <c r="A6" s="17" t="s">
        <v>45</v>
      </c>
      <c r="B6" s="21"/>
      <c r="C6" s="22"/>
      <c r="D6" s="23"/>
      <c r="E6" s="18" t="s">
        <v>74</v>
      </c>
      <c r="F6" s="18"/>
      <c r="G6" s="18"/>
      <c r="H6" s="19"/>
      <c r="I6" s="24"/>
      <c r="J6" s="25"/>
      <c r="K6" s="26"/>
      <c r="L6" s="27"/>
      <c r="M6" s="28"/>
      <c r="N6" s="5"/>
    </row>
    <row r="7" spans="1:14" ht="18.75" x14ac:dyDescent="0.25">
      <c r="A7" s="29" t="s">
        <v>7</v>
      </c>
      <c r="B7" s="30">
        <v>1.26</v>
      </c>
      <c r="C7" s="22">
        <f t="shared" ref="C7:C30" si="0">(B7-$K$14)/$K$13</f>
        <v>9.2897839647040925</v>
      </c>
      <c r="D7" s="22">
        <f t="shared" ref="D7:D30" si="1">C7-$C$5</f>
        <v>8.7460063897763582</v>
      </c>
      <c r="E7" s="31">
        <f>(0.0005/(0.001))*D7</f>
        <v>4.3730031948881791</v>
      </c>
      <c r="F7" s="31">
        <f>AVERAGE(E7:E9)</f>
        <v>4.3035904457629703</v>
      </c>
      <c r="G7" s="31">
        <f>STDEV(E7:E9)/SQRT(3)</f>
        <v>3.4706374562604538E-2</v>
      </c>
      <c r="H7" s="32"/>
      <c r="I7" s="26"/>
      <c r="J7" s="25">
        <v>2</v>
      </c>
      <c r="K7" s="26">
        <v>0.216</v>
      </c>
      <c r="L7" s="33"/>
      <c r="M7" s="27"/>
      <c r="N7" s="26"/>
    </row>
    <row r="8" spans="1:14" ht="18.75" x14ac:dyDescent="0.25">
      <c r="A8" s="29" t="s">
        <v>7</v>
      </c>
      <c r="B8" s="30">
        <v>1.23</v>
      </c>
      <c r="C8" s="22">
        <f t="shared" si="0"/>
        <v>9.0815457173284653</v>
      </c>
      <c r="D8" s="22">
        <f t="shared" si="1"/>
        <v>8.537768142400731</v>
      </c>
      <c r="E8" s="31">
        <f t="shared" ref="E8:E30" si="2">(0.0005/(0.001))*D8</f>
        <v>4.2688840712003655</v>
      </c>
      <c r="F8" s="31"/>
      <c r="G8" s="31"/>
      <c r="H8" s="32"/>
      <c r="I8" s="26"/>
      <c r="J8" s="34">
        <v>4</v>
      </c>
      <c r="K8" s="26">
        <v>0.45400000000000001</v>
      </c>
      <c r="L8" s="33"/>
      <c r="M8" s="33"/>
      <c r="N8" s="26"/>
    </row>
    <row r="9" spans="1:14" ht="18.75" x14ac:dyDescent="0.25">
      <c r="A9" s="29" t="s">
        <v>7</v>
      </c>
      <c r="B9" s="30">
        <v>1.23</v>
      </c>
      <c r="C9" s="22">
        <f t="shared" si="0"/>
        <v>9.0815457173284653</v>
      </c>
      <c r="D9" s="22">
        <f t="shared" si="1"/>
        <v>8.537768142400731</v>
      </c>
      <c r="E9" s="31">
        <f t="shared" si="2"/>
        <v>4.2688840712003655</v>
      </c>
      <c r="F9" s="31"/>
      <c r="G9" s="31"/>
      <c r="H9" s="32"/>
      <c r="I9" s="26"/>
      <c r="J9" s="34">
        <v>6</v>
      </c>
      <c r="K9" s="26">
        <v>0.79200000000000004</v>
      </c>
      <c r="L9" s="35"/>
      <c r="M9" s="33"/>
      <c r="N9" s="26"/>
    </row>
    <row r="10" spans="1:14" ht="18.75" x14ac:dyDescent="0.25">
      <c r="A10" s="29" t="s">
        <v>9</v>
      </c>
      <c r="B10" s="30">
        <v>1.42</v>
      </c>
      <c r="C10" s="22">
        <f t="shared" si="0"/>
        <v>10.40038795070744</v>
      </c>
      <c r="D10" s="22">
        <f t="shared" si="1"/>
        <v>9.8566103757797059</v>
      </c>
      <c r="E10" s="31">
        <f t="shared" si="2"/>
        <v>4.9283051878898529</v>
      </c>
      <c r="F10" s="31">
        <f>AVERAGE(E10:E12)</f>
        <v>4.8473236472437753</v>
      </c>
      <c r="G10" s="31">
        <f>STDEV(E10:E12)/SQRT(3)</f>
        <v>4.1711871023643321E-2</v>
      </c>
      <c r="H10" s="32"/>
      <c r="I10" s="26"/>
      <c r="J10" s="34">
        <v>8</v>
      </c>
      <c r="K10" s="26">
        <v>0.89800000000000002</v>
      </c>
      <c r="L10" s="33"/>
      <c r="M10" s="33"/>
      <c r="N10" s="26"/>
    </row>
    <row r="11" spans="1:14" ht="18.75" x14ac:dyDescent="0.25">
      <c r="A11" s="29" t="s">
        <v>9</v>
      </c>
      <c r="B11" s="30">
        <v>1.38</v>
      </c>
      <c r="C11" s="22">
        <f t="shared" si="0"/>
        <v>10.122736954206603</v>
      </c>
      <c r="D11" s="22">
        <f t="shared" si="1"/>
        <v>9.578959379278869</v>
      </c>
      <c r="E11" s="31">
        <f t="shared" si="2"/>
        <v>4.7894796896394345</v>
      </c>
      <c r="F11" s="31"/>
      <c r="G11" s="31"/>
      <c r="H11" s="32"/>
      <c r="I11" s="26"/>
      <c r="J11" s="36">
        <v>10</v>
      </c>
      <c r="K11" s="26">
        <v>1.51</v>
      </c>
      <c r="L11" s="33"/>
      <c r="M11" s="33"/>
      <c r="N11" s="26"/>
    </row>
    <row r="12" spans="1:14" ht="19.5" thickBot="1" x14ac:dyDescent="0.3">
      <c r="A12" s="29" t="s">
        <v>9</v>
      </c>
      <c r="B12" s="30">
        <v>1.39</v>
      </c>
      <c r="C12" s="22">
        <f t="shared" si="0"/>
        <v>10.192149703331813</v>
      </c>
      <c r="D12" s="22">
        <f t="shared" si="1"/>
        <v>9.6483721284040787</v>
      </c>
      <c r="E12" s="31">
        <f t="shared" si="2"/>
        <v>4.8241860642020393</v>
      </c>
      <c r="F12" s="31"/>
      <c r="G12" s="31"/>
      <c r="H12" s="32"/>
      <c r="I12" s="26"/>
      <c r="J12" s="37"/>
      <c r="K12" s="38"/>
      <c r="L12" s="33"/>
      <c r="M12" s="33"/>
      <c r="N12" s="26"/>
    </row>
    <row r="13" spans="1:14" ht="18.75" x14ac:dyDescent="0.25">
      <c r="A13" s="29" t="s">
        <v>10</v>
      </c>
      <c r="B13" s="30">
        <v>1.27</v>
      </c>
      <c r="C13" s="22">
        <f t="shared" si="0"/>
        <v>9.3591967138293022</v>
      </c>
      <c r="D13" s="22">
        <f t="shared" si="1"/>
        <v>8.8154191389015679</v>
      </c>
      <c r="E13" s="31">
        <f t="shared" si="2"/>
        <v>4.407709569450784</v>
      </c>
      <c r="F13" s="31">
        <f>AVERAGE(E13:E15)</f>
        <v>4.3845719864090471</v>
      </c>
      <c r="G13" s="31">
        <f>STDEV(E13:E15)/SQRT(3)</f>
        <v>4.1711871023643321E-2</v>
      </c>
      <c r="H13" s="32"/>
      <c r="I13" s="26"/>
      <c r="J13" s="39" t="s">
        <v>59</v>
      </c>
      <c r="K13" s="40">
        <f>SLOPE(K5:K12,J5:J12)</f>
        <v>0.14406575342465752</v>
      </c>
      <c r="L13" s="26"/>
      <c r="M13" s="26"/>
      <c r="N13" s="26"/>
    </row>
    <row r="14" spans="1:14" ht="19.5" thickBot="1" x14ac:dyDescent="0.3">
      <c r="A14" s="29" t="s">
        <v>10</v>
      </c>
      <c r="B14" s="30">
        <v>1.28</v>
      </c>
      <c r="C14" s="22">
        <f t="shared" si="0"/>
        <v>9.4286094629545119</v>
      </c>
      <c r="D14" s="22">
        <f t="shared" si="1"/>
        <v>8.8848318880267776</v>
      </c>
      <c r="E14" s="31">
        <f t="shared" si="2"/>
        <v>4.4424159440133888</v>
      </c>
      <c r="F14" s="31"/>
      <c r="G14" s="31"/>
      <c r="H14" s="32"/>
      <c r="I14" s="26"/>
      <c r="J14" s="41" t="s">
        <v>60</v>
      </c>
      <c r="K14" s="42">
        <f>INTERCEPT(K5:K12,J5:J12)</f>
        <v>-7.833972602739725E-2</v>
      </c>
      <c r="L14" s="26"/>
      <c r="M14" s="26"/>
      <c r="N14" s="26"/>
    </row>
    <row r="15" spans="1:14" ht="18.75" x14ac:dyDescent="0.25">
      <c r="A15" s="29" t="s">
        <v>10</v>
      </c>
      <c r="B15" s="30">
        <v>1.24</v>
      </c>
      <c r="C15" s="22">
        <f t="shared" si="0"/>
        <v>9.1509584664536749</v>
      </c>
      <c r="D15" s="22">
        <f t="shared" si="1"/>
        <v>8.6071808915259407</v>
      </c>
      <c r="E15" s="31">
        <f t="shared" si="2"/>
        <v>4.3035904457629703</v>
      </c>
      <c r="F15" s="31"/>
      <c r="G15" s="31"/>
      <c r="H15" s="32"/>
      <c r="I15" s="26"/>
      <c r="J15" s="26"/>
      <c r="K15" s="43"/>
      <c r="L15" s="26"/>
      <c r="M15" s="26"/>
      <c r="N15" s="26"/>
    </row>
    <row r="16" spans="1:14" ht="18.75" x14ac:dyDescent="0.25">
      <c r="A16" s="29" t="s">
        <v>14</v>
      </c>
      <c r="B16" s="30">
        <v>1.32</v>
      </c>
      <c r="C16" s="22">
        <f>(B16-$K$14)/$K$13</f>
        <v>9.7062604594553488</v>
      </c>
      <c r="D16" s="22">
        <f>C16-$C$5</f>
        <v>9.1624828845276145</v>
      </c>
      <c r="E16" s="31">
        <f>(0.0005/(0.001))*D16</f>
        <v>4.5812414422638073</v>
      </c>
      <c r="F16" s="31">
        <f>AVERAGE(E16,E18)</f>
        <v>4.5812414422638073</v>
      </c>
      <c r="G16" s="31">
        <f>STDEV(E16,E18)/SQRT(2)</f>
        <v>0</v>
      </c>
      <c r="H16" s="32"/>
      <c r="L16" s="26"/>
    </row>
    <row r="17" spans="1:15" ht="18.75" x14ac:dyDescent="0.25">
      <c r="A17" s="29" t="s">
        <v>14</v>
      </c>
      <c r="B17" s="30"/>
      <c r="C17" s="22"/>
      <c r="D17" s="22"/>
      <c r="E17" s="31"/>
      <c r="F17" s="31"/>
      <c r="G17" s="31"/>
      <c r="H17" s="32"/>
      <c r="L17" s="26"/>
    </row>
    <row r="18" spans="1:15" ht="18.75" x14ac:dyDescent="0.25">
      <c r="A18" s="29" t="s">
        <v>14</v>
      </c>
      <c r="B18" s="30">
        <v>1.32</v>
      </c>
      <c r="C18" s="22">
        <f>(B18-$K$14)/$K$13</f>
        <v>9.7062604594553488</v>
      </c>
      <c r="D18" s="22">
        <f>C18-$C$5</f>
        <v>9.1624828845276145</v>
      </c>
      <c r="E18" s="31">
        <f>(0.0005/(0.001))*D18</f>
        <v>4.5812414422638073</v>
      </c>
      <c r="F18" s="31"/>
      <c r="G18" s="31"/>
      <c r="H18" s="32"/>
      <c r="K18" s="44"/>
      <c r="L18" s="45"/>
    </row>
    <row r="19" spans="1:15" ht="18.75" x14ac:dyDescent="0.25">
      <c r="A19" s="29" t="s">
        <v>11</v>
      </c>
      <c r="B19" s="30">
        <v>2.2999999999999998</v>
      </c>
      <c r="C19" s="22">
        <f t="shared" si="0"/>
        <v>16.508709873725845</v>
      </c>
      <c r="D19" s="22">
        <f t="shared" si="1"/>
        <v>15.964932298798111</v>
      </c>
      <c r="E19" s="31">
        <f t="shared" si="2"/>
        <v>7.9824661493990554</v>
      </c>
      <c r="F19" s="31">
        <f t="shared" ref="F19" si="3">AVERAGE(E19:E21)</f>
        <v>8.0981540646077388</v>
      </c>
      <c r="G19" s="31">
        <f t="shared" ref="G19" si="4">STDEV(E19:E21)/SQRT(3)</f>
        <v>6.1216290667540786E-2</v>
      </c>
      <c r="H19" s="32"/>
      <c r="I19" s="26"/>
      <c r="J19" s="26"/>
      <c r="K19" s="46"/>
      <c r="L19" s="26"/>
      <c r="M19" s="47"/>
      <c r="N19" s="26"/>
    </row>
    <row r="20" spans="1:15" ht="18.75" x14ac:dyDescent="0.25">
      <c r="A20" s="29" t="s">
        <v>11</v>
      </c>
      <c r="B20" s="30">
        <v>2.34</v>
      </c>
      <c r="C20" s="22">
        <f t="shared" si="0"/>
        <v>16.786360870226684</v>
      </c>
      <c r="D20" s="22">
        <f t="shared" si="1"/>
        <v>16.24258329529895</v>
      </c>
      <c r="E20" s="31">
        <f t="shared" si="2"/>
        <v>8.1212916476494748</v>
      </c>
      <c r="F20" s="31"/>
      <c r="G20" s="31"/>
      <c r="H20" s="32"/>
      <c r="I20" s="26"/>
      <c r="J20" s="26"/>
      <c r="K20" s="48"/>
      <c r="L20" s="26"/>
      <c r="M20" s="47"/>
      <c r="N20" s="26"/>
    </row>
    <row r="21" spans="1:15" ht="18.75" x14ac:dyDescent="0.25">
      <c r="A21" s="29" t="s">
        <v>11</v>
      </c>
      <c r="B21" s="30">
        <v>2.36</v>
      </c>
      <c r="C21" s="22">
        <f t="shared" si="0"/>
        <v>16.925186368477107</v>
      </c>
      <c r="D21" s="22">
        <f t="shared" si="1"/>
        <v>16.381408793549372</v>
      </c>
      <c r="E21" s="31">
        <f t="shared" si="2"/>
        <v>8.1907043967746862</v>
      </c>
      <c r="F21" s="31"/>
      <c r="G21" s="31"/>
      <c r="H21" s="32"/>
      <c r="I21" s="26"/>
      <c r="J21" s="26"/>
      <c r="K21" s="48"/>
      <c r="L21" s="26"/>
      <c r="M21" s="26"/>
      <c r="N21" s="26"/>
    </row>
    <row r="22" spans="1:15" ht="18.75" x14ac:dyDescent="0.25">
      <c r="A22" s="29" t="s">
        <v>12</v>
      </c>
      <c r="B22" s="30">
        <v>2.61</v>
      </c>
      <c r="C22" s="22">
        <f t="shared" si="0"/>
        <v>18.660505096607334</v>
      </c>
      <c r="D22" s="22">
        <f t="shared" si="1"/>
        <v>18.1167275216796</v>
      </c>
      <c r="E22" s="31">
        <f>(0.0005/(0.001))*D22</f>
        <v>9.0583637608398</v>
      </c>
      <c r="F22" s="31">
        <f t="shared" ref="F22" si="5">AVERAGE(E22:E24)</f>
        <v>9.1856204675693487</v>
      </c>
      <c r="G22" s="31">
        <f t="shared" ref="G22" si="6">STDEV(E22:E24)/SQRT(3)</f>
        <v>9.4694639742553266E-2</v>
      </c>
      <c r="H22" s="32"/>
      <c r="I22" s="26"/>
      <c r="J22" s="26"/>
      <c r="K22" s="48"/>
      <c r="L22" s="26"/>
      <c r="M22" s="26"/>
      <c r="N22" s="26"/>
    </row>
    <row r="23" spans="1:15" ht="18.75" x14ac:dyDescent="0.25">
      <c r="A23" s="29" t="s">
        <v>12</v>
      </c>
      <c r="B23" s="30">
        <v>2.63</v>
      </c>
      <c r="C23" s="22">
        <f t="shared" si="0"/>
        <v>18.79933059485775</v>
      </c>
      <c r="D23" s="22">
        <f t="shared" si="1"/>
        <v>18.255553019930016</v>
      </c>
      <c r="E23" s="31">
        <f t="shared" si="2"/>
        <v>9.1277765099650079</v>
      </c>
      <c r="F23" s="31"/>
      <c r="G23" s="31"/>
      <c r="H23" s="32"/>
      <c r="I23" s="26"/>
      <c r="J23" s="26"/>
      <c r="K23" s="48"/>
      <c r="L23" s="26"/>
      <c r="M23" s="26"/>
      <c r="N23" s="26"/>
    </row>
    <row r="24" spans="1:15" ht="19.5" customHeight="1" x14ac:dyDescent="0.25">
      <c r="A24" s="29" t="s">
        <v>12</v>
      </c>
      <c r="B24" s="30">
        <v>2.7</v>
      </c>
      <c r="C24" s="22">
        <f t="shared" si="0"/>
        <v>19.285219838734218</v>
      </c>
      <c r="D24" s="22">
        <f t="shared" si="1"/>
        <v>18.741442263806483</v>
      </c>
      <c r="E24" s="31">
        <f t="shared" si="2"/>
        <v>9.3707211319032417</v>
      </c>
      <c r="F24" s="31"/>
      <c r="G24" s="31"/>
      <c r="H24" s="32"/>
      <c r="L24" s="26"/>
      <c r="M24" s="26"/>
      <c r="N24" s="26"/>
    </row>
    <row r="25" spans="1:15" ht="18.75" x14ac:dyDescent="0.25">
      <c r="A25" s="29" t="s">
        <v>13</v>
      </c>
      <c r="B25" s="30">
        <v>1.89</v>
      </c>
      <c r="C25" s="22">
        <f t="shared" si="0"/>
        <v>13.662787159592272</v>
      </c>
      <c r="D25" s="22">
        <f t="shared" si="1"/>
        <v>13.119009584664537</v>
      </c>
      <c r="E25" s="31">
        <f t="shared" si="2"/>
        <v>6.5595047923322687</v>
      </c>
      <c r="F25" s="31">
        <f t="shared" ref="F25" si="7">AVERAGE(E25:E27)</f>
        <v>7.0453940362087337</v>
      </c>
      <c r="G25" s="31">
        <f t="shared" ref="G25" si="8">STDEV(E25:E27)/SQRT(3)</f>
        <v>0.24294462193823269</v>
      </c>
      <c r="H25" s="32"/>
      <c r="L25" s="26"/>
      <c r="M25" s="26"/>
      <c r="N25" s="26"/>
      <c r="O25" s="26"/>
    </row>
    <row r="26" spans="1:15" ht="18.75" x14ac:dyDescent="0.25">
      <c r="A26" s="29" t="s">
        <v>13</v>
      </c>
      <c r="B26" s="30">
        <v>2.1</v>
      </c>
      <c r="C26" s="22">
        <f t="shared" si="0"/>
        <v>15.120454891221668</v>
      </c>
      <c r="D26" s="22">
        <f t="shared" si="1"/>
        <v>14.576677316293933</v>
      </c>
      <c r="E26" s="31">
        <f t="shared" si="2"/>
        <v>7.2883386581469667</v>
      </c>
      <c r="F26" s="31"/>
      <c r="G26" s="31"/>
      <c r="H26" s="32"/>
      <c r="L26" s="26"/>
      <c r="M26" s="26"/>
      <c r="N26" s="26"/>
      <c r="O26" s="26"/>
    </row>
    <row r="27" spans="1:15" ht="18.75" x14ac:dyDescent="0.25">
      <c r="A27" s="29" t="s">
        <v>13</v>
      </c>
      <c r="B27" s="30">
        <v>2.1</v>
      </c>
      <c r="C27" s="22">
        <f t="shared" si="0"/>
        <v>15.120454891221668</v>
      </c>
      <c r="D27" s="22">
        <f t="shared" si="1"/>
        <v>14.576677316293933</v>
      </c>
      <c r="E27" s="31">
        <f t="shared" si="2"/>
        <v>7.2883386581469667</v>
      </c>
      <c r="F27" s="31"/>
      <c r="G27" s="31"/>
      <c r="H27" s="32"/>
      <c r="L27" s="26"/>
      <c r="M27" s="26"/>
      <c r="N27" s="26"/>
      <c r="O27" s="26"/>
    </row>
    <row r="28" spans="1:15" ht="18.75" x14ac:dyDescent="0.25">
      <c r="A28" s="29" t="s">
        <v>15</v>
      </c>
      <c r="B28" s="30">
        <v>2.8</v>
      </c>
      <c r="C28" s="22">
        <f t="shared" si="0"/>
        <v>19.979347329986307</v>
      </c>
      <c r="D28" s="22">
        <f t="shared" si="1"/>
        <v>19.435569755058573</v>
      </c>
      <c r="E28" s="31">
        <f t="shared" si="2"/>
        <v>9.7177848775292865</v>
      </c>
      <c r="F28" s="31">
        <f t="shared" ref="F28" si="9">AVERAGE(E28:E30)</f>
        <v>9.8103352096962322</v>
      </c>
      <c r="G28" s="31">
        <f t="shared" ref="G28" si="10">STDEV(E28:E30)/SQRT(3)</f>
        <v>4.627516608347252E-2</v>
      </c>
      <c r="H28" s="32"/>
    </row>
    <row r="29" spans="1:15" ht="18.75" x14ac:dyDescent="0.25">
      <c r="A29" s="29" t="s">
        <v>15</v>
      </c>
      <c r="B29" s="30">
        <v>2.84</v>
      </c>
      <c r="C29" s="22">
        <f t="shared" si="0"/>
        <v>20.256998326487142</v>
      </c>
      <c r="D29" s="22">
        <f t="shared" si="1"/>
        <v>19.713220751559408</v>
      </c>
      <c r="E29" s="31">
        <f t="shared" si="2"/>
        <v>9.8566103757797041</v>
      </c>
      <c r="F29" s="31"/>
      <c r="G29" s="31"/>
      <c r="H29" s="32"/>
    </row>
    <row r="30" spans="1:15" ht="18.75" x14ac:dyDescent="0.25">
      <c r="A30" s="29" t="s">
        <v>15</v>
      </c>
      <c r="B30" s="30">
        <v>2.84</v>
      </c>
      <c r="C30" s="22">
        <f t="shared" si="0"/>
        <v>20.256998326487142</v>
      </c>
      <c r="D30" s="22">
        <f t="shared" si="1"/>
        <v>19.713220751559408</v>
      </c>
      <c r="E30" s="31">
        <f t="shared" si="2"/>
        <v>9.8566103757797041</v>
      </c>
      <c r="F30" s="31"/>
      <c r="G30" s="31"/>
      <c r="H30" s="32"/>
    </row>
    <row r="31" spans="1:15" ht="24.95" customHeight="1" x14ac:dyDescent="0.25">
      <c r="A31" s="29"/>
      <c r="B31" s="30"/>
      <c r="C31" s="22"/>
      <c r="D31" s="22"/>
      <c r="E31" s="31"/>
      <c r="F31" s="31"/>
      <c r="G31" s="31"/>
      <c r="H31" s="32"/>
    </row>
    <row r="32" spans="1:15" ht="18.75" x14ac:dyDescent="0.25">
      <c r="A32" s="29"/>
      <c r="B32" s="30"/>
      <c r="C32" s="22"/>
      <c r="D32" s="22"/>
      <c r="E32" s="31"/>
      <c r="F32" s="31"/>
      <c r="G32" s="31"/>
      <c r="H32" s="32"/>
      <c r="I32" s="49"/>
    </row>
    <row r="33" spans="1:9" ht="18.75" x14ac:dyDescent="0.25">
      <c r="A33" s="29"/>
      <c r="B33" s="30"/>
      <c r="C33" s="22"/>
      <c r="D33" s="22"/>
      <c r="E33" s="31"/>
      <c r="F33" s="31"/>
      <c r="G33" s="31"/>
      <c r="H33" s="32"/>
      <c r="I33" s="49"/>
    </row>
    <row r="34" spans="1:9" ht="18.75" x14ac:dyDescent="0.25">
      <c r="A34" s="29"/>
      <c r="B34" s="30"/>
      <c r="C34" s="22"/>
      <c r="D34" s="22"/>
      <c r="E34" s="31"/>
      <c r="F34" s="31"/>
      <c r="G34" s="31"/>
      <c r="H34" s="32"/>
    </row>
    <row r="35" spans="1:9" ht="18.75" x14ac:dyDescent="0.25">
      <c r="A35" s="29"/>
      <c r="B35" s="30"/>
      <c r="C35" s="22"/>
      <c r="D35" s="22"/>
      <c r="E35" s="31"/>
      <c r="F35" s="31"/>
      <c r="G35" s="31"/>
      <c r="H35" s="32"/>
    </row>
    <row r="36" spans="1:9" ht="18.75" x14ac:dyDescent="0.25">
      <c r="A36" s="29"/>
      <c r="B36" s="30"/>
      <c r="C36" s="22"/>
      <c r="D36" s="22"/>
      <c r="E36" s="31"/>
      <c r="F36" s="31"/>
      <c r="G36" s="31"/>
      <c r="H36" s="32"/>
    </row>
    <row r="37" spans="1:9" ht="18.75" x14ac:dyDescent="0.25">
      <c r="A37" s="29"/>
      <c r="B37" s="30"/>
      <c r="C37" s="22"/>
      <c r="D37" s="22"/>
      <c r="E37" s="31"/>
      <c r="F37" s="31"/>
      <c r="G37" s="31"/>
      <c r="H37" s="32"/>
    </row>
    <row r="38" spans="1:9" ht="18.75" x14ac:dyDescent="0.25">
      <c r="A38" s="29"/>
      <c r="B38" s="30"/>
      <c r="C38" s="22"/>
      <c r="D38" s="22"/>
      <c r="E38" s="31"/>
      <c r="F38" s="31"/>
      <c r="G38" s="31"/>
      <c r="H38" s="32"/>
    </row>
    <row r="39" spans="1:9" ht="18.75" x14ac:dyDescent="0.25">
      <c r="A39" s="29"/>
      <c r="B39" s="30"/>
      <c r="C39" s="22"/>
      <c r="D39" s="22"/>
      <c r="E39" s="31"/>
      <c r="F39" s="31"/>
      <c r="G39" s="31"/>
      <c r="H39" s="32"/>
    </row>
    <row r="40" spans="1:9" ht="18.75" x14ac:dyDescent="0.25">
      <c r="A40" s="29"/>
      <c r="B40" s="30"/>
      <c r="C40" s="22"/>
      <c r="D40" s="22"/>
      <c r="E40" s="31"/>
      <c r="F40" s="31"/>
      <c r="G40" s="31"/>
      <c r="H40" s="32"/>
    </row>
    <row r="41" spans="1:9" ht="18.75" x14ac:dyDescent="0.25">
      <c r="A41" s="29"/>
      <c r="B41" s="30"/>
      <c r="C41" s="22"/>
      <c r="D41" s="22"/>
      <c r="E41" s="31"/>
      <c r="F41" s="31"/>
      <c r="G41" s="31"/>
      <c r="H41" s="32"/>
    </row>
    <row r="42" spans="1:9" ht="18.75" x14ac:dyDescent="0.25">
      <c r="A42" s="29"/>
      <c r="B42" s="30"/>
      <c r="C42" s="22"/>
      <c r="D42" s="22"/>
      <c r="E42" s="31"/>
      <c r="F42" s="31"/>
      <c r="G42" s="31"/>
      <c r="H42" s="32"/>
    </row>
    <row r="43" spans="1:9" ht="18.75" customHeight="1" x14ac:dyDescent="0.25">
      <c r="A43" s="29"/>
      <c r="B43" s="30"/>
      <c r="C43" s="22"/>
      <c r="D43" s="22"/>
      <c r="E43" s="31"/>
      <c r="F43" s="31"/>
      <c r="G43" s="31"/>
      <c r="H43" s="32"/>
    </row>
    <row r="44" spans="1:9" ht="18.75" x14ac:dyDescent="0.25">
      <c r="A44" s="29"/>
      <c r="B44" s="30"/>
      <c r="C44" s="22"/>
      <c r="D44" s="22"/>
      <c r="E44" s="31"/>
      <c r="F44" s="31"/>
      <c r="G44" s="31"/>
      <c r="H44" s="32"/>
    </row>
    <row r="45" spans="1:9" ht="18.75" x14ac:dyDescent="0.25">
      <c r="A45" s="29"/>
      <c r="B45" s="30"/>
      <c r="C45" s="22"/>
      <c r="D45" s="22"/>
      <c r="E45" s="31"/>
      <c r="F45" s="31"/>
      <c r="G45" s="31"/>
      <c r="H45" s="32"/>
    </row>
    <row r="46" spans="1:9" ht="18.75" x14ac:dyDescent="0.25">
      <c r="A46" s="29"/>
      <c r="B46" s="30"/>
      <c r="C46" s="22"/>
      <c r="D46" s="22"/>
      <c r="E46" s="31"/>
      <c r="F46" s="31"/>
      <c r="G46" s="31"/>
      <c r="H46" s="32"/>
    </row>
    <row r="47" spans="1:9" ht="18.75" x14ac:dyDescent="0.25">
      <c r="A47" s="29"/>
      <c r="B47" s="30"/>
      <c r="C47" s="22"/>
      <c r="D47" s="22"/>
      <c r="E47" s="31"/>
      <c r="F47" s="31"/>
      <c r="G47" s="31"/>
      <c r="H47" s="32"/>
    </row>
    <row r="48" spans="1:9" ht="18.75" x14ac:dyDescent="0.25">
      <c r="A48" s="29"/>
      <c r="B48" s="30"/>
      <c r="C48" s="22"/>
      <c r="D48" s="22"/>
      <c r="E48" s="31"/>
      <c r="F48" s="31"/>
      <c r="G48" s="31"/>
      <c r="H48" s="32"/>
    </row>
    <row r="49" spans="1:8" ht="18.75" x14ac:dyDescent="0.25">
      <c r="A49" s="29"/>
      <c r="B49" s="30"/>
      <c r="C49" s="22"/>
      <c r="D49" s="22"/>
      <c r="E49" s="31"/>
      <c r="F49" s="31"/>
      <c r="G49" s="31"/>
      <c r="H49" s="32"/>
    </row>
    <row r="50" spans="1:8" ht="18.75" x14ac:dyDescent="0.25">
      <c r="A50" s="29"/>
      <c r="B50" s="30"/>
      <c r="C50" s="22"/>
      <c r="D50" s="22"/>
      <c r="E50" s="31"/>
      <c r="F50" s="31"/>
      <c r="G50" s="31"/>
      <c r="H50" s="32"/>
    </row>
    <row r="51" spans="1:8" ht="18.75" x14ac:dyDescent="0.25">
      <c r="A51" s="29"/>
      <c r="B51" s="30"/>
      <c r="C51" s="22"/>
      <c r="D51" s="22"/>
      <c r="E51" s="31"/>
      <c r="F51" s="31"/>
      <c r="G51" s="31"/>
      <c r="H51" s="32"/>
    </row>
    <row r="52" spans="1:8" ht="18.75" x14ac:dyDescent="0.25">
      <c r="A52" s="29"/>
      <c r="B52" s="30"/>
      <c r="C52" s="22"/>
      <c r="D52" s="22"/>
      <c r="E52" s="31"/>
      <c r="F52" s="31"/>
      <c r="G52" s="31"/>
      <c r="H52" s="32"/>
    </row>
    <row r="53" spans="1:8" ht="18.75" x14ac:dyDescent="0.25">
      <c r="A53" s="29"/>
      <c r="B53" s="30"/>
      <c r="C53" s="22"/>
      <c r="D53" s="22"/>
      <c r="E53" s="31"/>
      <c r="F53" s="31"/>
      <c r="G53" s="31"/>
      <c r="H53" s="32"/>
    </row>
    <row r="54" spans="1:8" ht="18.75" x14ac:dyDescent="0.25">
      <c r="A54" s="29"/>
      <c r="B54" s="30"/>
      <c r="C54" s="22"/>
      <c r="D54" s="22"/>
      <c r="E54" s="31"/>
      <c r="F54" s="31"/>
      <c r="G54" s="31"/>
      <c r="H54" s="32"/>
    </row>
    <row r="55" spans="1:8" ht="18.75" x14ac:dyDescent="0.25">
      <c r="A55" s="29"/>
      <c r="B55" s="30"/>
      <c r="C55" s="22"/>
      <c r="D55" s="22"/>
      <c r="E55" s="31"/>
      <c r="F55" s="31"/>
      <c r="G55" s="31"/>
      <c r="H55" s="32"/>
    </row>
    <row r="56" spans="1:8" ht="18.75" x14ac:dyDescent="0.25">
      <c r="A56" s="29"/>
      <c r="B56" s="30"/>
      <c r="C56" s="22"/>
      <c r="D56" s="22"/>
      <c r="E56" s="31"/>
      <c r="F56" s="31"/>
      <c r="G56" s="31"/>
      <c r="H56" s="32"/>
    </row>
    <row r="57" spans="1:8" ht="18.75" x14ac:dyDescent="0.25">
      <c r="A57" s="29"/>
      <c r="B57" s="30"/>
      <c r="C57" s="22"/>
      <c r="D57" s="22"/>
      <c r="E57" s="31"/>
      <c r="F57" s="31"/>
      <c r="G57" s="31"/>
      <c r="H57" s="32"/>
    </row>
    <row r="58" spans="1:8" ht="18.75" x14ac:dyDescent="0.25">
      <c r="A58" s="29"/>
      <c r="B58" s="30"/>
      <c r="C58" s="22"/>
      <c r="D58" s="22"/>
      <c r="E58" s="31"/>
      <c r="F58" s="31"/>
      <c r="G58" s="31"/>
      <c r="H58" s="32"/>
    </row>
    <row r="59" spans="1:8" ht="18.75" x14ac:dyDescent="0.25">
      <c r="A59" s="29"/>
      <c r="B59" s="30"/>
      <c r="C59" s="22"/>
      <c r="D59" s="22"/>
      <c r="E59" s="31"/>
      <c r="F59" s="31"/>
      <c r="G59" s="31"/>
      <c r="H59" s="32"/>
    </row>
    <row r="60" spans="1:8" ht="18.75" x14ac:dyDescent="0.25">
      <c r="A60" s="29"/>
      <c r="B60" s="30"/>
      <c r="C60" s="22"/>
      <c r="D60" s="22"/>
      <c r="E60" s="31"/>
      <c r="F60" s="31"/>
      <c r="G60" s="31"/>
      <c r="H60" s="32"/>
    </row>
    <row r="66" spans="1:2" x14ac:dyDescent="0.25">
      <c r="A66" s="50">
        <f>F7</f>
        <v>4.3035904457629703</v>
      </c>
      <c r="B66" s="1">
        <f>G7</f>
        <v>3.4706374562604538E-2</v>
      </c>
    </row>
    <row r="67" spans="1:2" x14ac:dyDescent="0.25">
      <c r="A67" s="50">
        <f>F10</f>
        <v>4.8473236472437753</v>
      </c>
      <c r="B67" s="1">
        <f>G10</f>
        <v>4.1711871023643321E-2</v>
      </c>
    </row>
    <row r="68" spans="1:2" x14ac:dyDescent="0.25">
      <c r="A68" s="50">
        <f>F13</f>
        <v>4.3845719864090471</v>
      </c>
      <c r="B68" s="1">
        <f>G13</f>
        <v>4.1711871023643321E-2</v>
      </c>
    </row>
    <row r="69" spans="1:2" x14ac:dyDescent="0.25">
      <c r="A69" s="50">
        <f>F19</f>
        <v>8.0981540646077388</v>
      </c>
      <c r="B69" s="1">
        <f>G19</f>
        <v>6.1216290667540786E-2</v>
      </c>
    </row>
    <row r="70" spans="1:2" x14ac:dyDescent="0.25">
      <c r="A70" s="50">
        <f>F22</f>
        <v>9.1856204675693487</v>
      </c>
      <c r="B70" s="1">
        <f>G22</f>
        <v>9.4694639742553266E-2</v>
      </c>
    </row>
    <row r="71" spans="1:2" x14ac:dyDescent="0.25">
      <c r="A71" s="50">
        <f>F25</f>
        <v>7.0453940362087337</v>
      </c>
      <c r="B71" s="1">
        <f>G25</f>
        <v>0.24294462193823269</v>
      </c>
    </row>
    <row r="80" spans="1:2" x14ac:dyDescent="0.25">
      <c r="A80" s="50">
        <f>F16</f>
        <v>4.5812414422638073</v>
      </c>
      <c r="B80" s="1">
        <f>G16</f>
        <v>0</v>
      </c>
    </row>
    <row r="81" spans="1:2" x14ac:dyDescent="0.25">
      <c r="A81" s="50">
        <f>F28</f>
        <v>9.8103352096962322</v>
      </c>
      <c r="B81" s="1">
        <f>G28</f>
        <v>4.627516608347252E-2</v>
      </c>
    </row>
    <row r="82" spans="1:2" x14ac:dyDescent="0.25">
      <c r="A82" s="50">
        <f>F31</f>
        <v>0</v>
      </c>
      <c r="B82" s="1">
        <f>G31</f>
        <v>0</v>
      </c>
    </row>
    <row r="83" spans="1:2" x14ac:dyDescent="0.25">
      <c r="A83" s="50">
        <f>F34</f>
        <v>0</v>
      </c>
      <c r="B83" s="1">
        <f>G34</f>
        <v>0</v>
      </c>
    </row>
    <row r="84" spans="1:2" x14ac:dyDescent="0.25">
      <c r="A84" s="50">
        <f>F37</f>
        <v>0</v>
      </c>
      <c r="B84" s="1">
        <f>G37</f>
        <v>0</v>
      </c>
    </row>
    <row r="85" spans="1:2" x14ac:dyDescent="0.25">
      <c r="A85" s="50">
        <f>F40</f>
        <v>0</v>
      </c>
      <c r="B85" s="1">
        <f>G40</f>
        <v>0</v>
      </c>
    </row>
    <row r="91" spans="1:2" x14ac:dyDescent="0.25">
      <c r="A91" s="50">
        <f>F43</f>
        <v>0</v>
      </c>
      <c r="B91" s="1">
        <f>G43</f>
        <v>0</v>
      </c>
    </row>
    <row r="92" spans="1:2" x14ac:dyDescent="0.25">
      <c r="A92" s="50">
        <f>F46</f>
        <v>0</v>
      </c>
      <c r="B92" s="1">
        <f>G46</f>
        <v>0</v>
      </c>
    </row>
    <row r="93" spans="1:2" x14ac:dyDescent="0.25">
      <c r="A93" s="50">
        <f>F49</f>
        <v>0</v>
      </c>
      <c r="B93" s="1">
        <f>G49</f>
        <v>0</v>
      </c>
    </row>
    <row r="94" spans="1:2" x14ac:dyDescent="0.25">
      <c r="A94" s="50">
        <f>F52</f>
        <v>0</v>
      </c>
      <c r="B94" s="1">
        <f>G52</f>
        <v>0</v>
      </c>
    </row>
    <row r="95" spans="1:2" x14ac:dyDescent="0.25">
      <c r="A95" s="50">
        <f>F55</f>
        <v>0</v>
      </c>
      <c r="B95" s="1">
        <f>G55</f>
        <v>0</v>
      </c>
    </row>
    <row r="96" spans="1:2" x14ac:dyDescent="0.25">
      <c r="A96" s="50">
        <f>F58</f>
        <v>0</v>
      </c>
      <c r="B96" s="1">
        <f>G58</f>
        <v>0</v>
      </c>
    </row>
  </sheetData>
  <mergeCells count="2">
    <mergeCell ref="A2:D2"/>
    <mergeCell ref="J3:K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MBC</vt:lpstr>
      <vt:lpstr>WEOC</vt:lpstr>
      <vt:lpstr>Moisture</vt:lpstr>
      <vt:lpstr>APA</vt:lpstr>
      <vt:lpstr>UA</vt:lpstr>
      <vt:lpstr>DHA</vt:lpstr>
      <vt:lpstr>BGA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2024-01-12T03:37:08Z</dcterms:modified>
</cp:coreProperties>
</file>