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drawings/drawing3.xml" ContentType="application/vnd.openxmlformats-officedocument.drawing+xml"/>
  <Override PartName="/xl/comments3.xml" ContentType="application/vnd.openxmlformats-officedocument.spreadsheetml.comments+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4"/>
  <workbookPr/>
  <mc:AlternateContent xmlns:mc="http://schemas.openxmlformats.org/markup-compatibility/2006">
    <mc:Choice Requires="x15">
      <x15ac:absPath xmlns:x15ac="http://schemas.microsoft.com/office/spreadsheetml/2010/11/ac" url="/Users/claudiocifuentes/Desktop/"/>
    </mc:Choice>
  </mc:AlternateContent>
  <xr:revisionPtr revIDLastSave="0" documentId="8_{84608AAE-7D27-5848-8AD6-ADB8075386E7}" xr6:coauthVersionLast="47" xr6:coauthVersionMax="47" xr10:uidLastSave="{00000000-0000-0000-0000-000000000000}"/>
  <bookViews>
    <workbookView xWindow="0" yWindow="500" windowWidth="14500" windowHeight="11040" activeTab="2" xr2:uid="{00000000-000D-0000-FFFF-FFFF00000000}"/>
  </bookViews>
  <sheets>
    <sheet name="Reliability_1-2" sheetId="77" r:id="rId1"/>
    <sheet name="Reliability_1-3" sheetId="72" r:id="rId2"/>
    <sheet name="Reliability_2-3 " sheetId="78"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2" i="77" l="1"/>
  <c r="M47" i="77"/>
  <c r="M44" i="77"/>
  <c r="L47" i="77"/>
  <c r="L44" i="77"/>
  <c r="D48" i="72"/>
  <c r="D46" i="72"/>
  <c r="E48" i="72"/>
  <c r="E46" i="72"/>
  <c r="V49" i="78"/>
  <c r="V48" i="78"/>
  <c r="W49" i="78"/>
  <c r="W48" i="78"/>
  <c r="V46" i="78"/>
  <c r="W46" i="78"/>
  <c r="AD123" i="78"/>
  <c r="X49" i="78"/>
  <c r="X48" i="78"/>
  <c r="X46" i="78"/>
  <c r="AE123" i="78"/>
  <c r="Y49" i="78"/>
  <c r="Y48" i="78"/>
  <c r="Y46" i="78"/>
  <c r="AF123" i="78"/>
  <c r="Z49" i="78"/>
  <c r="Z48" i="78"/>
  <c r="Z46" i="78"/>
  <c r="AG123" i="78"/>
  <c r="AA49" i="78"/>
  <c r="AA48" i="78"/>
  <c r="AA46" i="78"/>
  <c r="AH123" i="78"/>
  <c r="AJ46" i="78"/>
  <c r="AD72" i="78"/>
  <c r="AE72" i="78"/>
  <c r="AF72" i="78"/>
  <c r="AG72" i="78"/>
  <c r="AH72" i="78"/>
  <c r="AI123" i="78"/>
  <c r="AI113" i="78"/>
  <c r="AH136" i="78"/>
  <c r="AH150" i="78"/>
  <c r="AG136" i="78"/>
  <c r="AG150" i="78"/>
  <c r="AF136" i="78"/>
  <c r="AF150" i="78"/>
  <c r="AE136" i="78"/>
  <c r="AE150" i="78"/>
  <c r="AD136" i="78"/>
  <c r="AD150" i="78"/>
  <c r="AH149" i="78"/>
  <c r="AG149" i="78"/>
  <c r="AF149" i="78"/>
  <c r="AE149" i="78"/>
  <c r="AD149" i="78"/>
  <c r="AH148" i="78"/>
  <c r="AG148" i="78"/>
  <c r="AF148" i="78"/>
  <c r="AE148" i="78"/>
  <c r="AD148" i="78"/>
  <c r="AH147" i="78"/>
  <c r="AG147" i="78"/>
  <c r="AF147" i="78"/>
  <c r="AE147" i="78"/>
  <c r="AD147" i="78"/>
  <c r="AH48" i="78"/>
  <c r="AH54" i="78"/>
  <c r="AH146" i="78"/>
  <c r="AG48" i="78"/>
  <c r="AG54" i="78"/>
  <c r="AG146" i="78"/>
  <c r="AF48" i="78"/>
  <c r="AF54" i="78"/>
  <c r="AF146" i="78"/>
  <c r="AE48" i="78"/>
  <c r="AE54" i="78"/>
  <c r="AE146" i="78"/>
  <c r="AD48" i="78"/>
  <c r="AD54" i="78"/>
  <c r="AD146" i="78"/>
  <c r="AH145" i="78"/>
  <c r="AG145" i="78"/>
  <c r="AF145" i="78"/>
  <c r="AE145" i="78"/>
  <c r="AD145" i="78"/>
  <c r="AI144" i="78"/>
  <c r="AH144" i="78"/>
  <c r="AG144" i="78"/>
  <c r="AF144" i="78"/>
  <c r="AE144" i="78"/>
  <c r="AD144" i="78"/>
  <c r="AI143" i="78"/>
  <c r="AH143" i="78"/>
  <c r="AG143" i="78"/>
  <c r="AF143" i="78"/>
  <c r="AE143" i="78"/>
  <c r="AD143" i="78"/>
  <c r="AI142" i="78"/>
  <c r="AH142" i="78"/>
  <c r="AG142" i="78"/>
  <c r="AF142" i="78"/>
  <c r="AE142" i="78"/>
  <c r="AD142" i="78"/>
  <c r="AI141" i="78"/>
  <c r="AH141" i="78"/>
  <c r="AG141" i="78"/>
  <c r="AF141" i="78"/>
  <c r="AE141" i="78"/>
  <c r="AD141" i="78"/>
  <c r="AI140" i="78"/>
  <c r="AH140" i="78"/>
  <c r="AG140" i="78"/>
  <c r="AF140" i="78"/>
  <c r="AE140" i="78"/>
  <c r="AD140" i="78"/>
  <c r="AI139" i="78"/>
  <c r="AH139" i="78"/>
  <c r="AG139" i="78"/>
  <c r="AF139" i="78"/>
  <c r="AE139" i="78"/>
  <c r="AD139" i="78"/>
  <c r="AI138" i="78"/>
  <c r="AH138" i="78"/>
  <c r="AG138" i="78"/>
  <c r="AF138" i="78"/>
  <c r="AE138" i="78"/>
  <c r="AD138" i="78"/>
  <c r="AI137" i="78"/>
  <c r="AH137" i="78"/>
  <c r="AG137" i="78"/>
  <c r="AF137" i="78"/>
  <c r="AE137" i="78"/>
  <c r="AD137" i="78"/>
  <c r="AH135" i="78"/>
  <c r="AG135" i="78"/>
  <c r="AF135" i="78"/>
  <c r="AE135" i="78"/>
  <c r="AD135" i="78"/>
  <c r="AH134" i="78"/>
  <c r="AG134" i="78"/>
  <c r="AF134" i="78"/>
  <c r="AE134" i="78"/>
  <c r="AD134" i="78"/>
  <c r="AH133" i="78"/>
  <c r="AG133" i="78"/>
  <c r="AF133" i="78"/>
  <c r="AE133" i="78"/>
  <c r="AD133" i="78"/>
  <c r="AH132" i="78"/>
  <c r="AG132" i="78"/>
  <c r="AF132" i="78"/>
  <c r="AE132" i="78"/>
  <c r="AD132" i="78"/>
  <c r="AI130" i="78"/>
  <c r="AH130" i="78"/>
  <c r="AG130" i="78"/>
  <c r="AF130" i="78"/>
  <c r="AE130" i="78"/>
  <c r="AD130" i="78"/>
  <c r="AI129" i="78"/>
  <c r="AH129" i="78"/>
  <c r="AG129" i="78"/>
  <c r="AF129" i="78"/>
  <c r="AE129" i="78"/>
  <c r="AD129" i="78"/>
  <c r="AI128" i="78"/>
  <c r="AH128" i="78"/>
  <c r="AG128" i="78"/>
  <c r="AF128" i="78"/>
  <c r="AE128" i="78"/>
  <c r="AD128" i="78"/>
  <c r="AH127" i="78"/>
  <c r="AG127" i="78"/>
  <c r="AF127" i="78"/>
  <c r="AE127" i="78"/>
  <c r="AD127" i="78"/>
  <c r="AH126" i="78"/>
  <c r="AG126" i="78"/>
  <c r="AF126" i="78"/>
  <c r="AE126" i="78"/>
  <c r="AD126" i="78"/>
  <c r="AH125" i="78"/>
  <c r="AG125" i="78"/>
  <c r="AF125" i="78"/>
  <c r="AE125" i="78"/>
  <c r="AD125" i="78"/>
  <c r="AI122" i="78"/>
  <c r="AH122" i="78"/>
  <c r="AG122" i="78"/>
  <c r="AF122" i="78"/>
  <c r="AE122" i="78"/>
  <c r="AD122" i="78"/>
  <c r="AI121" i="78"/>
  <c r="AH121" i="78"/>
  <c r="AG121" i="78"/>
  <c r="AF121" i="78"/>
  <c r="AE121" i="78"/>
  <c r="AD121" i="78"/>
  <c r="AH120" i="78"/>
  <c r="AG120" i="78"/>
  <c r="AF120" i="78"/>
  <c r="AE120" i="78"/>
  <c r="AD120" i="78"/>
  <c r="AH119" i="78"/>
  <c r="AG119" i="78"/>
  <c r="AF119" i="78"/>
  <c r="AE119" i="78"/>
  <c r="AD119" i="78"/>
  <c r="AH118" i="78"/>
  <c r="AG118" i="78"/>
  <c r="AF118" i="78"/>
  <c r="AE118" i="78"/>
  <c r="AD118" i="78"/>
  <c r="AH117" i="78"/>
  <c r="AG117" i="78"/>
  <c r="AF117" i="78"/>
  <c r="AE117" i="78"/>
  <c r="AD117" i="78"/>
  <c r="AI116" i="78"/>
  <c r="AH116" i="78"/>
  <c r="AG116" i="78"/>
  <c r="AF116" i="78"/>
  <c r="AE116" i="78"/>
  <c r="AD116" i="78"/>
  <c r="AI115" i="78"/>
  <c r="AH115" i="78"/>
  <c r="AG115" i="78"/>
  <c r="AF115" i="78"/>
  <c r="AE115" i="78"/>
  <c r="AD115" i="78"/>
  <c r="AI114" i="78"/>
  <c r="AH114" i="78"/>
  <c r="AG114" i="78"/>
  <c r="AF114" i="78"/>
  <c r="AE114" i="78"/>
  <c r="AD114" i="78"/>
  <c r="AH113" i="78"/>
  <c r="AG113" i="78"/>
  <c r="AF113" i="78"/>
  <c r="AE113" i="78"/>
  <c r="AD113" i="78"/>
  <c r="AH112" i="78"/>
  <c r="AG112" i="78"/>
  <c r="AF112" i="78"/>
  <c r="AE112" i="78"/>
  <c r="AD112" i="78"/>
  <c r="AH111" i="78"/>
  <c r="AG111" i="78"/>
  <c r="AF111" i="78"/>
  <c r="AE111" i="78"/>
  <c r="AD111" i="78"/>
  <c r="AH110" i="78"/>
  <c r="AG110" i="78"/>
  <c r="AF110" i="78"/>
  <c r="AE110" i="78"/>
  <c r="AD110" i="78"/>
  <c r="P29" i="78"/>
  <c r="AH109" i="78"/>
  <c r="O29" i="78"/>
  <c r="AG109" i="78"/>
  <c r="N29" i="78"/>
  <c r="AF109" i="78"/>
  <c r="M29" i="78"/>
  <c r="AE109" i="78"/>
  <c r="L29" i="78"/>
  <c r="AD109" i="78"/>
  <c r="AI106" i="78"/>
  <c r="AH106" i="78"/>
  <c r="AG106" i="78"/>
  <c r="AF106" i="78"/>
  <c r="AE106" i="78"/>
  <c r="AD106" i="78"/>
  <c r="AI105" i="78"/>
  <c r="AH105" i="78"/>
  <c r="AG105" i="78"/>
  <c r="AF105" i="78"/>
  <c r="AE105" i="78"/>
  <c r="AD105" i="78"/>
  <c r="AH104" i="78"/>
  <c r="AG104" i="78"/>
  <c r="AF104" i="78"/>
  <c r="AE104" i="78"/>
  <c r="AD104" i="78"/>
  <c r="AH103" i="78"/>
  <c r="AG103" i="78"/>
  <c r="AF103" i="78"/>
  <c r="AE103" i="78"/>
  <c r="AD103" i="78"/>
  <c r="AH102" i="78"/>
  <c r="AG102" i="78"/>
  <c r="AF102" i="78"/>
  <c r="AE102" i="78"/>
  <c r="AD102" i="78"/>
  <c r="AH101" i="78"/>
  <c r="AG101" i="78"/>
  <c r="AF101" i="78"/>
  <c r="AE101" i="78"/>
  <c r="AD101" i="78"/>
  <c r="D48" i="78"/>
  <c r="E48" i="78"/>
  <c r="L30" i="78"/>
  <c r="L31" i="78"/>
  <c r="L32" i="78"/>
  <c r="L33" i="78"/>
  <c r="L34" i="78"/>
  <c r="L35" i="78"/>
  <c r="L36" i="78"/>
  <c r="L37" i="78"/>
  <c r="L38" i="78"/>
  <c r="L39" i="78"/>
  <c r="L40" i="78"/>
  <c r="L41" i="78"/>
  <c r="L42" i="78"/>
  <c r="L43" i="78"/>
  <c r="L44" i="78"/>
  <c r="L45" i="78"/>
  <c r="L48" i="78"/>
  <c r="L71" i="78"/>
  <c r="F48" i="78"/>
  <c r="M71" i="78"/>
  <c r="G48" i="78"/>
  <c r="N71" i="78"/>
  <c r="H48" i="78"/>
  <c r="O71" i="78"/>
  <c r="I48" i="78"/>
  <c r="P71" i="78"/>
  <c r="Q71" i="78"/>
  <c r="P87" i="78"/>
  <c r="P101" i="78"/>
  <c r="O87" i="78"/>
  <c r="O101" i="78"/>
  <c r="N87" i="78"/>
  <c r="N101" i="78"/>
  <c r="M87" i="78"/>
  <c r="M101" i="78"/>
  <c r="L60" i="78"/>
  <c r="AI100" i="78"/>
  <c r="AH100" i="78"/>
  <c r="AG100" i="78"/>
  <c r="AF100" i="78"/>
  <c r="AE100" i="78"/>
  <c r="AD100" i="78"/>
  <c r="P100" i="78"/>
  <c r="O100" i="78"/>
  <c r="N100" i="78"/>
  <c r="M100" i="78"/>
  <c r="P99" i="78"/>
  <c r="O99" i="78"/>
  <c r="N99" i="78"/>
  <c r="M99" i="78"/>
  <c r="AI98" i="78"/>
  <c r="AH98" i="78"/>
  <c r="AG98" i="78"/>
  <c r="AF98" i="78"/>
  <c r="AE98" i="78"/>
  <c r="AD98" i="78"/>
  <c r="P98" i="78"/>
  <c r="O98" i="78"/>
  <c r="N98" i="78"/>
  <c r="M98" i="78"/>
  <c r="AI94" i="78"/>
  <c r="AI97" i="78"/>
  <c r="AH94" i="78"/>
  <c r="AH97" i="78"/>
  <c r="AG94" i="78"/>
  <c r="AG97" i="78"/>
  <c r="AF94" i="78"/>
  <c r="AF97" i="78"/>
  <c r="AE94" i="78"/>
  <c r="AE97" i="78"/>
  <c r="AD94" i="78"/>
  <c r="AD97" i="78"/>
  <c r="P48" i="78"/>
  <c r="P97" i="78"/>
  <c r="O48" i="78"/>
  <c r="O97" i="78"/>
  <c r="N48" i="78"/>
  <c r="N97" i="78"/>
  <c r="M48" i="78"/>
  <c r="M97" i="78"/>
  <c r="L97" i="78"/>
  <c r="AI96" i="78"/>
  <c r="AH96" i="78"/>
  <c r="AG96" i="78"/>
  <c r="AF96" i="78"/>
  <c r="AE96" i="78"/>
  <c r="AD96" i="78"/>
  <c r="P96" i="78"/>
  <c r="O96" i="78"/>
  <c r="N96" i="78"/>
  <c r="M96" i="78"/>
  <c r="L83" i="78"/>
  <c r="L96" i="78"/>
  <c r="AI95" i="78"/>
  <c r="AH95" i="78"/>
  <c r="AG95" i="78"/>
  <c r="AF95" i="78"/>
  <c r="AE95" i="78"/>
  <c r="AD95" i="78"/>
  <c r="P95" i="78"/>
  <c r="O95" i="78"/>
  <c r="N95" i="78"/>
  <c r="M95" i="78"/>
  <c r="P94" i="78"/>
  <c r="O94" i="78"/>
  <c r="N94" i="78"/>
  <c r="M94" i="78"/>
  <c r="AH90" i="78"/>
  <c r="AH93" i="78"/>
  <c r="AG90" i="78"/>
  <c r="AG93" i="78"/>
  <c r="AF90" i="78"/>
  <c r="AF93" i="78"/>
  <c r="AE90" i="78"/>
  <c r="AE93" i="78"/>
  <c r="AD90" i="78"/>
  <c r="AD93" i="78"/>
  <c r="Q93" i="78"/>
  <c r="P93" i="78"/>
  <c r="O93" i="78"/>
  <c r="N93" i="78"/>
  <c r="M93" i="78"/>
  <c r="L93" i="78"/>
  <c r="AH92" i="78"/>
  <c r="AG92" i="78"/>
  <c r="AF92" i="78"/>
  <c r="AE92" i="78"/>
  <c r="AD92" i="78"/>
  <c r="R46" i="78"/>
  <c r="Q92" i="78"/>
  <c r="P92" i="78"/>
  <c r="O92" i="78"/>
  <c r="N92" i="78"/>
  <c r="M92" i="78"/>
  <c r="L92" i="78"/>
  <c r="AH91" i="78"/>
  <c r="AG91" i="78"/>
  <c r="AF91" i="78"/>
  <c r="AE91" i="78"/>
  <c r="AD91" i="78"/>
  <c r="P91" i="78"/>
  <c r="O91" i="78"/>
  <c r="N91" i="78"/>
  <c r="M91" i="78"/>
  <c r="Q90" i="78"/>
  <c r="P90" i="78"/>
  <c r="O90" i="78"/>
  <c r="N90" i="78"/>
  <c r="M90" i="78"/>
  <c r="L90" i="78"/>
  <c r="P89" i="78"/>
  <c r="O89" i="78"/>
  <c r="N89" i="78"/>
  <c r="M89" i="78"/>
  <c r="AI88" i="78"/>
  <c r="AH88" i="78"/>
  <c r="AG88" i="78"/>
  <c r="AF88" i="78"/>
  <c r="AE88" i="78"/>
  <c r="AD88" i="78"/>
  <c r="P88" i="78"/>
  <c r="O88" i="78"/>
  <c r="N88" i="78"/>
  <c r="M88" i="78"/>
  <c r="AI87" i="78"/>
  <c r="AH87" i="78"/>
  <c r="AG87" i="78"/>
  <c r="AF87" i="78"/>
  <c r="AE87" i="78"/>
  <c r="AD87" i="78"/>
  <c r="AH86" i="78"/>
  <c r="AG86" i="78"/>
  <c r="AF86" i="78"/>
  <c r="AE86" i="78"/>
  <c r="AD86" i="78"/>
  <c r="P86" i="78"/>
  <c r="O86" i="78"/>
  <c r="N86" i="78"/>
  <c r="M86" i="78"/>
  <c r="L86" i="78"/>
  <c r="AH85" i="78"/>
  <c r="AG85" i="78"/>
  <c r="AF85" i="78"/>
  <c r="AE85" i="78"/>
  <c r="AD85" i="78"/>
  <c r="P85" i="78"/>
  <c r="O85" i="78"/>
  <c r="N85" i="78"/>
  <c r="M85" i="78"/>
  <c r="L85" i="78"/>
  <c r="AH84" i="78"/>
  <c r="AG84" i="78"/>
  <c r="AF84" i="78"/>
  <c r="AE84" i="78"/>
  <c r="AD84" i="78"/>
  <c r="P84" i="78"/>
  <c r="O84" i="78"/>
  <c r="N84" i="78"/>
  <c r="M84" i="78"/>
  <c r="L84" i="78"/>
  <c r="AH83" i="78"/>
  <c r="AG83" i="78"/>
  <c r="AF83" i="78"/>
  <c r="AE83" i="78"/>
  <c r="AD83" i="78"/>
  <c r="P83" i="78"/>
  <c r="O83" i="78"/>
  <c r="N83" i="78"/>
  <c r="M83" i="78"/>
  <c r="AI72" i="78"/>
  <c r="AI61" i="78"/>
  <c r="AI82" i="78"/>
  <c r="AH61" i="78"/>
  <c r="AH82" i="78"/>
  <c r="AG61" i="78"/>
  <c r="AG82" i="78"/>
  <c r="AF61" i="78"/>
  <c r="AF82" i="78"/>
  <c r="AE61" i="78"/>
  <c r="AE82" i="78"/>
  <c r="AD61" i="78"/>
  <c r="AD82" i="78"/>
  <c r="AI79" i="78"/>
  <c r="AI81" i="78"/>
  <c r="AH79" i="78"/>
  <c r="AH81" i="78"/>
  <c r="AG79" i="78"/>
  <c r="AG81" i="78"/>
  <c r="AF79" i="78"/>
  <c r="AF81" i="78"/>
  <c r="AE79" i="78"/>
  <c r="AE81" i="78"/>
  <c r="AD79" i="78"/>
  <c r="AD81" i="78"/>
  <c r="Q64" i="78"/>
  <c r="Q81" i="78"/>
  <c r="P64" i="78"/>
  <c r="P81" i="78"/>
  <c r="O64" i="78"/>
  <c r="O81" i="78"/>
  <c r="N64" i="78"/>
  <c r="N81" i="78"/>
  <c r="M64" i="78"/>
  <c r="M81" i="78"/>
  <c r="L64" i="78"/>
  <c r="L81" i="78"/>
  <c r="AI80" i="78"/>
  <c r="AH80" i="78"/>
  <c r="AG80" i="78"/>
  <c r="AF80" i="78"/>
  <c r="AE80" i="78"/>
  <c r="AD80" i="78"/>
  <c r="P77" i="78"/>
  <c r="P80" i="78"/>
  <c r="O77" i="78"/>
  <c r="O80" i="78"/>
  <c r="N77" i="78"/>
  <c r="N80" i="78"/>
  <c r="M77" i="78"/>
  <c r="M80" i="78"/>
  <c r="P79" i="78"/>
  <c r="O79" i="78"/>
  <c r="N79" i="78"/>
  <c r="M79" i="78"/>
  <c r="AI78" i="78"/>
  <c r="AH78" i="78"/>
  <c r="AG78" i="78"/>
  <c r="AF78" i="78"/>
  <c r="AE78" i="78"/>
  <c r="AD78" i="78"/>
  <c r="P78" i="78"/>
  <c r="O78" i="78"/>
  <c r="N78" i="78"/>
  <c r="M78" i="78"/>
  <c r="AH74" i="78"/>
  <c r="AH77" i="78"/>
  <c r="AG74" i="78"/>
  <c r="AG77" i="78"/>
  <c r="AF74" i="78"/>
  <c r="AF77" i="78"/>
  <c r="AE74" i="78"/>
  <c r="AE77" i="78"/>
  <c r="AD74" i="78"/>
  <c r="AD77" i="78"/>
  <c r="AH76" i="78"/>
  <c r="AG76" i="78"/>
  <c r="AF76" i="78"/>
  <c r="AE76" i="78"/>
  <c r="AD76" i="78"/>
  <c r="P73" i="78"/>
  <c r="P76" i="78"/>
  <c r="O73" i="78"/>
  <c r="O76" i="78"/>
  <c r="N73" i="78"/>
  <c r="N76" i="78"/>
  <c r="M73" i="78"/>
  <c r="M76" i="78"/>
  <c r="AH75" i="78"/>
  <c r="AG75" i="78"/>
  <c r="AF75" i="78"/>
  <c r="AE75" i="78"/>
  <c r="AD75" i="78"/>
  <c r="P75" i="78"/>
  <c r="O75" i="78"/>
  <c r="N75" i="78"/>
  <c r="M75" i="78"/>
  <c r="P74" i="78"/>
  <c r="O74" i="78"/>
  <c r="N74" i="78"/>
  <c r="M74" i="78"/>
  <c r="AI71" i="78"/>
  <c r="AH71" i="78"/>
  <c r="AG71" i="78"/>
  <c r="AF71" i="78"/>
  <c r="AE71" i="78"/>
  <c r="AD71" i="78"/>
  <c r="AI70" i="78"/>
  <c r="AH70" i="78"/>
  <c r="AG70" i="78"/>
  <c r="AF70" i="78"/>
  <c r="AE70" i="78"/>
  <c r="AD70" i="78"/>
  <c r="P70" i="78"/>
  <c r="O70" i="78"/>
  <c r="N70" i="78"/>
  <c r="M70" i="78"/>
  <c r="AH69" i="78"/>
  <c r="AG69" i="78"/>
  <c r="AF69" i="78"/>
  <c r="AE69" i="78"/>
  <c r="AD69" i="78"/>
  <c r="P69" i="78"/>
  <c r="O69" i="78"/>
  <c r="N69" i="78"/>
  <c r="M69" i="78"/>
  <c r="AH68" i="78"/>
  <c r="AG68" i="78"/>
  <c r="AF68" i="78"/>
  <c r="AE68" i="78"/>
  <c r="AD68" i="78"/>
  <c r="P68" i="78"/>
  <c r="O68" i="78"/>
  <c r="N68" i="78"/>
  <c r="M68" i="78"/>
  <c r="AH67" i="78"/>
  <c r="AG67" i="78"/>
  <c r="AF67" i="78"/>
  <c r="AE67" i="78"/>
  <c r="AD67" i="78"/>
  <c r="P67" i="78"/>
  <c r="O67" i="78"/>
  <c r="N67" i="78"/>
  <c r="M67" i="78"/>
  <c r="AH66" i="78"/>
  <c r="AG66" i="78"/>
  <c r="AF66" i="78"/>
  <c r="AE66" i="78"/>
  <c r="AD66" i="78"/>
  <c r="P66" i="78"/>
  <c r="O66" i="78"/>
  <c r="N66" i="78"/>
  <c r="M66" i="78"/>
  <c r="AI65" i="78"/>
  <c r="AH65" i="78"/>
  <c r="AG65" i="78"/>
  <c r="AF65" i="78"/>
  <c r="AE65" i="78"/>
  <c r="AD65" i="78"/>
  <c r="P65" i="78"/>
  <c r="O65" i="78"/>
  <c r="N65" i="78"/>
  <c r="M65" i="78"/>
  <c r="E46" i="78"/>
  <c r="D46" i="78"/>
  <c r="AI62" i="78"/>
  <c r="AI64" i="78"/>
  <c r="AH62" i="78"/>
  <c r="AH64" i="78"/>
  <c r="AG62" i="78"/>
  <c r="AG64" i="78"/>
  <c r="AF62" i="78"/>
  <c r="AF64" i="78"/>
  <c r="AE62" i="78"/>
  <c r="AE64" i="78"/>
  <c r="AD62" i="78"/>
  <c r="AD64" i="78"/>
  <c r="AI63" i="78"/>
  <c r="AH63" i="78"/>
  <c r="AG63" i="78"/>
  <c r="AF63" i="78"/>
  <c r="AE63" i="78"/>
  <c r="AD63" i="78"/>
  <c r="P61" i="78"/>
  <c r="P63" i="78"/>
  <c r="O61" i="78"/>
  <c r="O63" i="78"/>
  <c r="N61" i="78"/>
  <c r="N63" i="78"/>
  <c r="M61" i="78"/>
  <c r="M63" i="78"/>
  <c r="L61" i="78"/>
  <c r="L62" i="78"/>
  <c r="L63" i="78"/>
  <c r="P62" i="78"/>
  <c r="O62" i="78"/>
  <c r="N62" i="78"/>
  <c r="M62" i="78"/>
  <c r="F46" i="78"/>
  <c r="G46" i="78"/>
  <c r="H46" i="78"/>
  <c r="I46" i="78"/>
  <c r="J46" i="78"/>
  <c r="H62" i="78"/>
  <c r="H61" i="78"/>
  <c r="AH57" i="78"/>
  <c r="AH60" i="78"/>
  <c r="AG57" i="78"/>
  <c r="AG60" i="78"/>
  <c r="AF57" i="78"/>
  <c r="AF60" i="78"/>
  <c r="AE57" i="78"/>
  <c r="AE60" i="78"/>
  <c r="AD57" i="78"/>
  <c r="AD60" i="78"/>
  <c r="P60" i="78"/>
  <c r="O60" i="78"/>
  <c r="N60" i="78"/>
  <c r="M60" i="78"/>
  <c r="H60" i="78"/>
  <c r="AH59" i="78"/>
  <c r="AG59" i="78"/>
  <c r="AF59" i="78"/>
  <c r="AE59" i="78"/>
  <c r="AD59" i="78"/>
  <c r="P59" i="78"/>
  <c r="O59" i="78"/>
  <c r="N59" i="78"/>
  <c r="M59" i="78"/>
  <c r="L46" i="78"/>
  <c r="L56" i="78"/>
  <c r="L47" i="78"/>
  <c r="L58" i="78"/>
  <c r="L57" i="78"/>
  <c r="L59" i="78"/>
  <c r="AH58" i="78"/>
  <c r="AG58" i="78"/>
  <c r="AF58" i="78"/>
  <c r="AE58" i="78"/>
  <c r="AD58" i="78"/>
  <c r="P58" i="78"/>
  <c r="O58" i="78"/>
  <c r="N58" i="78"/>
  <c r="M58" i="78"/>
  <c r="P57" i="78"/>
  <c r="O57" i="78"/>
  <c r="N57" i="78"/>
  <c r="M57" i="78"/>
  <c r="H57" i="78"/>
  <c r="AH56" i="78"/>
  <c r="AG56" i="78"/>
  <c r="AF56" i="78"/>
  <c r="AE56" i="78"/>
  <c r="AD56" i="78"/>
  <c r="P56" i="78"/>
  <c r="O56" i="78"/>
  <c r="N56" i="78"/>
  <c r="M56" i="78"/>
  <c r="P55" i="78"/>
  <c r="O55" i="78"/>
  <c r="N55" i="78"/>
  <c r="M55" i="78"/>
  <c r="L55" i="78"/>
  <c r="AI54" i="78"/>
  <c r="AB54" i="78"/>
  <c r="AA54" i="78"/>
  <c r="Z54" i="78"/>
  <c r="Y54" i="78"/>
  <c r="X54" i="78"/>
  <c r="W54" i="78"/>
  <c r="V54" i="78"/>
  <c r="AI53" i="78"/>
  <c r="AH47" i="78"/>
  <c r="AH51" i="78"/>
  <c r="AH53" i="78"/>
  <c r="AG47" i="78"/>
  <c r="AG51" i="78"/>
  <c r="AG53" i="78"/>
  <c r="AF47" i="78"/>
  <c r="AF51" i="78"/>
  <c r="AF53" i="78"/>
  <c r="AE47" i="78"/>
  <c r="AE51" i="78"/>
  <c r="AE53" i="78"/>
  <c r="AD47" i="78"/>
  <c r="AD51" i="78"/>
  <c r="AD53" i="78"/>
  <c r="AA50" i="78"/>
  <c r="AA47" i="78"/>
  <c r="AA52" i="78"/>
  <c r="AA53" i="78"/>
  <c r="Z50" i="78"/>
  <c r="Z47" i="78"/>
  <c r="Z52" i="78"/>
  <c r="Z53" i="78"/>
  <c r="Y50" i="78"/>
  <c r="Y47" i="78"/>
  <c r="Y52" i="78"/>
  <c r="Y53" i="78"/>
  <c r="X50" i="78"/>
  <c r="X47" i="78"/>
  <c r="X52" i="78"/>
  <c r="X53" i="78"/>
  <c r="W50" i="78"/>
  <c r="W47" i="78"/>
  <c r="W52" i="78"/>
  <c r="W53" i="78"/>
  <c r="V50" i="78"/>
  <c r="V47" i="78"/>
  <c r="V52" i="78"/>
  <c r="V53" i="78"/>
  <c r="AH46" i="78"/>
  <c r="AH52" i="78"/>
  <c r="AG46" i="78"/>
  <c r="AG52" i="78"/>
  <c r="AF46" i="78"/>
  <c r="AF52" i="78"/>
  <c r="AE46" i="78"/>
  <c r="AE52" i="78"/>
  <c r="AD46" i="78"/>
  <c r="AD52" i="78"/>
  <c r="AI51" i="78"/>
  <c r="AB46" i="78"/>
  <c r="AB51" i="78"/>
  <c r="AA51" i="78"/>
  <c r="Z51" i="78"/>
  <c r="Y51" i="78"/>
  <c r="X51" i="78"/>
  <c r="W51" i="78"/>
  <c r="V51" i="78"/>
  <c r="AH50" i="78"/>
  <c r="AG50" i="78"/>
  <c r="AF50" i="78"/>
  <c r="AE50" i="78"/>
  <c r="AD50" i="78"/>
  <c r="J48" i="78"/>
  <c r="J50" i="78"/>
  <c r="I50" i="78"/>
  <c r="H50" i="78"/>
  <c r="G50" i="78"/>
  <c r="F50" i="78"/>
  <c r="E50" i="78"/>
  <c r="D50" i="78"/>
  <c r="Q48" i="78"/>
  <c r="AI47" i="78"/>
  <c r="M47" i="78"/>
  <c r="N47" i="78"/>
  <c r="O47" i="78"/>
  <c r="P47" i="78"/>
  <c r="Q47" i="78"/>
  <c r="I47" i="78"/>
  <c r="H47" i="78"/>
  <c r="G47" i="78"/>
  <c r="F47" i="78"/>
  <c r="E47" i="78"/>
  <c r="D47" i="78"/>
  <c r="P46" i="78"/>
  <c r="O46" i="78"/>
  <c r="N46" i="78"/>
  <c r="M46" i="78"/>
  <c r="AA45" i="78"/>
  <c r="Z45" i="78"/>
  <c r="AH45" i="78"/>
  <c r="Y45" i="78"/>
  <c r="AG45" i="78"/>
  <c r="X45" i="78"/>
  <c r="AF45" i="78"/>
  <c r="W45" i="78"/>
  <c r="AE45" i="78"/>
  <c r="V45" i="78"/>
  <c r="AD45" i="78"/>
  <c r="R45" i="78"/>
  <c r="P45" i="78"/>
  <c r="O45" i="78"/>
  <c r="N45" i="78"/>
  <c r="M45" i="78"/>
  <c r="AA44" i="78"/>
  <c r="Z44" i="78"/>
  <c r="AH44" i="78"/>
  <c r="Y44" i="78"/>
  <c r="AG44" i="78"/>
  <c r="X44" i="78"/>
  <c r="AF44" i="78"/>
  <c r="W44" i="78"/>
  <c r="AE44" i="78"/>
  <c r="V44" i="78"/>
  <c r="AD44" i="78"/>
  <c r="R44" i="78"/>
  <c r="P44" i="78"/>
  <c r="O44" i="78"/>
  <c r="N44" i="78"/>
  <c r="M44" i="78"/>
  <c r="AA43" i="78"/>
  <c r="Z43" i="78"/>
  <c r="AH43" i="78"/>
  <c r="Y43" i="78"/>
  <c r="AG43" i="78"/>
  <c r="X43" i="78"/>
  <c r="AF43" i="78"/>
  <c r="W43" i="78"/>
  <c r="AE43" i="78"/>
  <c r="V43" i="78"/>
  <c r="AD43" i="78"/>
  <c r="R43" i="78"/>
  <c r="P43" i="78"/>
  <c r="O43" i="78"/>
  <c r="N43" i="78"/>
  <c r="M43" i="78"/>
  <c r="AA42" i="78"/>
  <c r="Z42" i="78"/>
  <c r="AH42" i="78"/>
  <c r="Y42" i="78"/>
  <c r="AG42" i="78"/>
  <c r="X42" i="78"/>
  <c r="AF42" i="78"/>
  <c r="W42" i="78"/>
  <c r="AE42" i="78"/>
  <c r="V42" i="78"/>
  <c r="AD42" i="78"/>
  <c r="R42" i="78"/>
  <c r="P42" i="78"/>
  <c r="O42" i="78"/>
  <c r="N42" i="78"/>
  <c r="M42" i="78"/>
  <c r="AA41" i="78"/>
  <c r="Z41" i="78"/>
  <c r="AH41" i="78"/>
  <c r="Y41" i="78"/>
  <c r="AG41" i="78"/>
  <c r="X41" i="78"/>
  <c r="AF41" i="78"/>
  <c r="W41" i="78"/>
  <c r="AE41" i="78"/>
  <c r="V41" i="78"/>
  <c r="AD41" i="78"/>
  <c r="R41" i="78"/>
  <c r="P41" i="78"/>
  <c r="O41" i="78"/>
  <c r="N41" i="78"/>
  <c r="M41" i="78"/>
  <c r="AA40" i="78"/>
  <c r="Z40" i="78"/>
  <c r="AH40" i="78"/>
  <c r="Y40" i="78"/>
  <c r="AG40" i="78"/>
  <c r="X40" i="78"/>
  <c r="AF40" i="78"/>
  <c r="W40" i="78"/>
  <c r="AE40" i="78"/>
  <c r="V40" i="78"/>
  <c r="AD40" i="78"/>
  <c r="R40" i="78"/>
  <c r="P40" i="78"/>
  <c r="O40" i="78"/>
  <c r="N40" i="78"/>
  <c r="M40" i="78"/>
  <c r="AA39" i="78"/>
  <c r="Z39" i="78"/>
  <c r="AH39" i="78"/>
  <c r="Y39" i="78"/>
  <c r="AG39" i="78"/>
  <c r="X39" i="78"/>
  <c r="AF39" i="78"/>
  <c r="W39" i="78"/>
  <c r="AE39" i="78"/>
  <c r="V39" i="78"/>
  <c r="AD39" i="78"/>
  <c r="R39" i="78"/>
  <c r="P39" i="78"/>
  <c r="O39" i="78"/>
  <c r="N39" i="78"/>
  <c r="M39" i="78"/>
  <c r="AA38" i="78"/>
  <c r="Z38" i="78"/>
  <c r="AH38" i="78"/>
  <c r="Y38" i="78"/>
  <c r="AG38" i="78"/>
  <c r="X38" i="78"/>
  <c r="AF38" i="78"/>
  <c r="W38" i="78"/>
  <c r="AE38" i="78"/>
  <c r="V38" i="78"/>
  <c r="AD38" i="78"/>
  <c r="R38" i="78"/>
  <c r="P38" i="78"/>
  <c r="O38" i="78"/>
  <c r="N38" i="78"/>
  <c r="M38" i="78"/>
  <c r="AA37" i="78"/>
  <c r="Z37" i="78"/>
  <c r="AH37" i="78"/>
  <c r="Y37" i="78"/>
  <c r="AG37" i="78"/>
  <c r="X37" i="78"/>
  <c r="AF37" i="78"/>
  <c r="W37" i="78"/>
  <c r="AE37" i="78"/>
  <c r="V37" i="78"/>
  <c r="AD37" i="78"/>
  <c r="R37" i="78"/>
  <c r="P37" i="78"/>
  <c r="O37" i="78"/>
  <c r="N37" i="78"/>
  <c r="M37" i="78"/>
  <c r="AA36" i="78"/>
  <c r="Z36" i="78"/>
  <c r="AH36" i="78"/>
  <c r="Y36" i="78"/>
  <c r="AG36" i="78"/>
  <c r="X36" i="78"/>
  <c r="AF36" i="78"/>
  <c r="W36" i="78"/>
  <c r="AE36" i="78"/>
  <c r="V36" i="78"/>
  <c r="AD36" i="78"/>
  <c r="R36" i="78"/>
  <c r="P36" i="78"/>
  <c r="O36" i="78"/>
  <c r="N36" i="78"/>
  <c r="M36" i="78"/>
  <c r="AA35" i="78"/>
  <c r="Z35" i="78"/>
  <c r="AH35" i="78"/>
  <c r="Y35" i="78"/>
  <c r="AG35" i="78"/>
  <c r="X35" i="78"/>
  <c r="AF35" i="78"/>
  <c r="W35" i="78"/>
  <c r="AE35" i="78"/>
  <c r="V35" i="78"/>
  <c r="AD35" i="78"/>
  <c r="R35" i="78"/>
  <c r="P35" i="78"/>
  <c r="O35" i="78"/>
  <c r="N35" i="78"/>
  <c r="M35" i="78"/>
  <c r="AA34" i="78"/>
  <c r="Z34" i="78"/>
  <c r="AH34" i="78"/>
  <c r="Y34" i="78"/>
  <c r="AG34" i="78"/>
  <c r="X34" i="78"/>
  <c r="AF34" i="78"/>
  <c r="W34" i="78"/>
  <c r="AE34" i="78"/>
  <c r="V34" i="78"/>
  <c r="AD34" i="78"/>
  <c r="R34" i="78"/>
  <c r="P34" i="78"/>
  <c r="O34" i="78"/>
  <c r="N34" i="78"/>
  <c r="M34" i="78"/>
  <c r="AA33" i="78"/>
  <c r="Z33" i="78"/>
  <c r="AH33" i="78"/>
  <c r="Y33" i="78"/>
  <c r="AG33" i="78"/>
  <c r="X33" i="78"/>
  <c r="AF33" i="78"/>
  <c r="W33" i="78"/>
  <c r="AE33" i="78"/>
  <c r="V33" i="78"/>
  <c r="AD33" i="78"/>
  <c r="R33" i="78"/>
  <c r="P33" i="78"/>
  <c r="O33" i="78"/>
  <c r="N33" i="78"/>
  <c r="M33" i="78"/>
  <c r="AA32" i="78"/>
  <c r="Z32" i="78"/>
  <c r="AH32" i="78"/>
  <c r="Y32" i="78"/>
  <c r="AG32" i="78"/>
  <c r="X32" i="78"/>
  <c r="AF32" i="78"/>
  <c r="W32" i="78"/>
  <c r="AE32" i="78"/>
  <c r="V32" i="78"/>
  <c r="AD32" i="78"/>
  <c r="R32" i="78"/>
  <c r="P32" i="78"/>
  <c r="O32" i="78"/>
  <c r="N32" i="78"/>
  <c r="M32" i="78"/>
  <c r="V31" i="78"/>
  <c r="W31" i="78"/>
  <c r="AJ31" i="78"/>
  <c r="AD31" i="78"/>
  <c r="R31" i="78"/>
  <c r="M31" i="78"/>
  <c r="V30" i="78"/>
  <c r="W30" i="78"/>
  <c r="AJ30" i="78"/>
  <c r="AD30" i="78"/>
  <c r="R30" i="78"/>
  <c r="M30" i="78"/>
  <c r="AH29" i="78"/>
  <c r="AG29" i="78"/>
  <c r="AF29" i="78"/>
  <c r="AE29" i="78"/>
  <c r="AD29" i="78"/>
  <c r="AA29" i="78"/>
  <c r="Z29" i="78"/>
  <c r="Y29" i="78"/>
  <c r="X29" i="78"/>
  <c r="W29" i="78"/>
  <c r="V29" i="78"/>
  <c r="V54" i="77"/>
  <c r="V53" i="77"/>
  <c r="W54" i="77"/>
  <c r="W53" i="77"/>
  <c r="X54" i="77"/>
  <c r="X53" i="77"/>
  <c r="X59" i="77"/>
  <c r="Y54" i="77"/>
  <c r="Y53" i="77"/>
  <c r="Z54" i="77"/>
  <c r="Z53" i="77"/>
  <c r="Z55" i="77"/>
  <c r="Z52" i="77"/>
  <c r="Z57" i="77"/>
  <c r="Z58" i="77"/>
  <c r="AA54" i="77"/>
  <c r="AA53" i="77"/>
  <c r="AA51" i="77"/>
  <c r="AJ51" i="77"/>
  <c r="AI59" i="77"/>
  <c r="AH53" i="77"/>
  <c r="AH59" i="77"/>
  <c r="AG53" i="77"/>
  <c r="AG59" i="77"/>
  <c r="AF53" i="77"/>
  <c r="AF59" i="77"/>
  <c r="AE53" i="77"/>
  <c r="AE59" i="77"/>
  <c r="AD53" i="77"/>
  <c r="AD59" i="77"/>
  <c r="P29" i="77"/>
  <c r="AH61" i="77"/>
  <c r="O29" i="77"/>
  <c r="AG114" i="77"/>
  <c r="N29" i="77"/>
  <c r="N60" i="77"/>
  <c r="M29" i="77"/>
  <c r="AE61" i="77"/>
  <c r="L29" i="77"/>
  <c r="D53" i="77"/>
  <c r="D51" i="77"/>
  <c r="E53" i="77"/>
  <c r="E51" i="77"/>
  <c r="L35" i="77"/>
  <c r="L36" i="77"/>
  <c r="L37" i="77"/>
  <c r="L38" i="77"/>
  <c r="L39" i="77"/>
  <c r="L40" i="77"/>
  <c r="L41" i="77"/>
  <c r="L42" i="77"/>
  <c r="L43" i="77"/>
  <c r="L45" i="77"/>
  <c r="L46" i="77"/>
  <c r="L48" i="77"/>
  <c r="L49" i="77"/>
  <c r="L50" i="77"/>
  <c r="F53" i="77"/>
  <c r="F51" i="77"/>
  <c r="G53" i="77"/>
  <c r="G51" i="77"/>
  <c r="H53" i="77"/>
  <c r="H51" i="77"/>
  <c r="I53" i="77"/>
  <c r="I51" i="77"/>
  <c r="R51" i="77"/>
  <c r="J53" i="77"/>
  <c r="J55" i="77"/>
  <c r="P53" i="77"/>
  <c r="O53" i="77"/>
  <c r="N53" i="77"/>
  <c r="M53" i="77"/>
  <c r="P60" i="77"/>
  <c r="AH52" i="77"/>
  <c r="AH56" i="77"/>
  <c r="AH58" i="77"/>
  <c r="AG52" i="77"/>
  <c r="AG56" i="77"/>
  <c r="AG58" i="77"/>
  <c r="AF52" i="77"/>
  <c r="AF56" i="77"/>
  <c r="AF58" i="77"/>
  <c r="AE52" i="77"/>
  <c r="AE56" i="77"/>
  <c r="AE58" i="77"/>
  <c r="AD52" i="77"/>
  <c r="AD56" i="77"/>
  <c r="AD58" i="77"/>
  <c r="AA55" i="77"/>
  <c r="AA52" i="77"/>
  <c r="AA57" i="77"/>
  <c r="AA58" i="77"/>
  <c r="AH51" i="77"/>
  <c r="AH55" i="77"/>
  <c r="AG51" i="77"/>
  <c r="AG57" i="77"/>
  <c r="AF51" i="77"/>
  <c r="AF57" i="77"/>
  <c r="AE51" i="77"/>
  <c r="AD51" i="77"/>
  <c r="AD55" i="77"/>
  <c r="AA56" i="77"/>
  <c r="M52" i="77"/>
  <c r="N52" i="77"/>
  <c r="O52" i="77"/>
  <c r="P52" i="77"/>
  <c r="I52" i="77"/>
  <c r="P51" i="77"/>
  <c r="O51" i="77"/>
  <c r="N51" i="77"/>
  <c r="M51" i="77"/>
  <c r="AA50" i="77"/>
  <c r="Z50" i="77"/>
  <c r="Y50" i="77"/>
  <c r="X50" i="77"/>
  <c r="W50" i="77"/>
  <c r="V50" i="77"/>
  <c r="P50" i="77"/>
  <c r="O50" i="77"/>
  <c r="N50" i="77"/>
  <c r="M50" i="77"/>
  <c r="AA49" i="77"/>
  <c r="Z49" i="77"/>
  <c r="Y49" i="77"/>
  <c r="X49" i="77"/>
  <c r="W49" i="77"/>
  <c r="V49" i="77"/>
  <c r="P49" i="77"/>
  <c r="O49" i="77"/>
  <c r="N49" i="77"/>
  <c r="M49" i="77"/>
  <c r="AA48" i="77"/>
  <c r="AH48" i="77"/>
  <c r="Z48" i="77"/>
  <c r="Y48" i="77"/>
  <c r="X48" i="77"/>
  <c r="W48" i="77"/>
  <c r="V48" i="77"/>
  <c r="P48" i="77"/>
  <c r="O48" i="77"/>
  <c r="N48" i="77"/>
  <c r="M48" i="77"/>
  <c r="AA46" i="77"/>
  <c r="Z46" i="77"/>
  <c r="Y46" i="77"/>
  <c r="X46" i="77"/>
  <c r="W46" i="77"/>
  <c r="V46" i="77"/>
  <c r="P46" i="77"/>
  <c r="O46" i="77"/>
  <c r="N46" i="77"/>
  <c r="M46" i="77"/>
  <c r="AA45" i="77"/>
  <c r="Z45" i="77"/>
  <c r="Y45" i="77"/>
  <c r="X45" i="77"/>
  <c r="W45" i="77"/>
  <c r="AE45" i="77"/>
  <c r="V45" i="77"/>
  <c r="P45" i="77"/>
  <c r="O45" i="77"/>
  <c r="N45" i="77"/>
  <c r="M45" i="77"/>
  <c r="AA43" i="77"/>
  <c r="Z43" i="77"/>
  <c r="Y43" i="77"/>
  <c r="X43" i="77"/>
  <c r="W43" i="77"/>
  <c r="V43" i="77"/>
  <c r="P43" i="77"/>
  <c r="O43" i="77"/>
  <c r="N43" i="77"/>
  <c r="M43" i="77"/>
  <c r="AA42" i="77"/>
  <c r="Z42" i="77"/>
  <c r="Y42" i="77"/>
  <c r="X42" i="77"/>
  <c r="W42" i="77"/>
  <c r="V42" i="77"/>
  <c r="P42" i="77"/>
  <c r="O42" i="77"/>
  <c r="N42" i="77"/>
  <c r="M42" i="77"/>
  <c r="AA41" i="77"/>
  <c r="Z41" i="77"/>
  <c r="Y41" i="77"/>
  <c r="X41" i="77"/>
  <c r="W41" i="77"/>
  <c r="V41" i="77"/>
  <c r="P41" i="77"/>
  <c r="O41" i="77"/>
  <c r="N41" i="77"/>
  <c r="M41" i="77"/>
  <c r="AA40" i="77"/>
  <c r="Z40" i="77"/>
  <c r="Y40" i="77"/>
  <c r="AG40" i="77"/>
  <c r="X40" i="77"/>
  <c r="W40" i="77"/>
  <c r="V40" i="77"/>
  <c r="P40" i="77"/>
  <c r="O40" i="77"/>
  <c r="N40" i="77"/>
  <c r="M40" i="77"/>
  <c r="AA39" i="77"/>
  <c r="Z39" i="77"/>
  <c r="Y39" i="77"/>
  <c r="X39" i="77"/>
  <c r="W39" i="77"/>
  <c r="V39" i="77"/>
  <c r="P39" i="77"/>
  <c r="O39" i="77"/>
  <c r="N39" i="77"/>
  <c r="M39" i="77"/>
  <c r="AA38" i="77"/>
  <c r="Z38" i="77"/>
  <c r="Y38" i="77"/>
  <c r="X38" i="77"/>
  <c r="W38" i="77"/>
  <c r="V38" i="77"/>
  <c r="P38" i="77"/>
  <c r="O38" i="77"/>
  <c r="N38" i="77"/>
  <c r="M38" i="77"/>
  <c r="AA37" i="77"/>
  <c r="Z37" i="77"/>
  <c r="Y37" i="77"/>
  <c r="X37" i="77"/>
  <c r="W37" i="77"/>
  <c r="V37" i="77"/>
  <c r="P37" i="77"/>
  <c r="O37" i="77"/>
  <c r="N37" i="77"/>
  <c r="M37" i="77"/>
  <c r="V36" i="77"/>
  <c r="W36" i="77"/>
  <c r="M36" i="77"/>
  <c r="V35" i="77"/>
  <c r="W35" i="77"/>
  <c r="M35" i="77"/>
  <c r="AH29" i="77"/>
  <c r="AA29" i="77"/>
  <c r="Z29" i="77"/>
  <c r="Y29" i="77"/>
  <c r="X29" i="77"/>
  <c r="W29" i="77"/>
  <c r="V29" i="77"/>
  <c r="F46" i="72"/>
  <c r="M45" i="72"/>
  <c r="V49" i="72"/>
  <c r="V48" i="72"/>
  <c r="W49" i="72"/>
  <c r="W48" i="72"/>
  <c r="V46" i="72"/>
  <c r="W46" i="72"/>
  <c r="AD123" i="72"/>
  <c r="X49" i="72"/>
  <c r="X48" i="72"/>
  <c r="X46" i="72"/>
  <c r="AE123" i="72"/>
  <c r="Y49" i="72"/>
  <c r="Y48" i="72"/>
  <c r="Y46" i="72"/>
  <c r="AF123" i="72"/>
  <c r="Z49" i="72"/>
  <c r="Z48" i="72"/>
  <c r="Z46" i="72"/>
  <c r="AG123" i="72"/>
  <c r="AA49" i="72"/>
  <c r="AA48" i="72"/>
  <c r="AA46" i="72"/>
  <c r="AH123" i="72"/>
  <c r="AJ46" i="72"/>
  <c r="AD72" i="72"/>
  <c r="AE72" i="72"/>
  <c r="AF72" i="72"/>
  <c r="AG72" i="72"/>
  <c r="AH72" i="72"/>
  <c r="AI123" i="72"/>
  <c r="AI113" i="72"/>
  <c r="AH136" i="72"/>
  <c r="AH150" i="72"/>
  <c r="AG136" i="72"/>
  <c r="AG150" i="72"/>
  <c r="AF136" i="72"/>
  <c r="AF150" i="72"/>
  <c r="AE136" i="72"/>
  <c r="AE150" i="72"/>
  <c r="AD136" i="72"/>
  <c r="AD150" i="72"/>
  <c r="AH149" i="72"/>
  <c r="AG149" i="72"/>
  <c r="AF149" i="72"/>
  <c r="AE149" i="72"/>
  <c r="AD149" i="72"/>
  <c r="AH148" i="72"/>
  <c r="AG148" i="72"/>
  <c r="AF148" i="72"/>
  <c r="AE148" i="72"/>
  <c r="AD148" i="72"/>
  <c r="AH147" i="72"/>
  <c r="AG147" i="72"/>
  <c r="AF147" i="72"/>
  <c r="AE147" i="72"/>
  <c r="AD147" i="72"/>
  <c r="AH48" i="72"/>
  <c r="AH54" i="72"/>
  <c r="AH146" i="72"/>
  <c r="AG48" i="72"/>
  <c r="AG54" i="72"/>
  <c r="AG146" i="72"/>
  <c r="AF48" i="72"/>
  <c r="AF54" i="72"/>
  <c r="AF146" i="72"/>
  <c r="AE48" i="72"/>
  <c r="AE54" i="72"/>
  <c r="AE146" i="72"/>
  <c r="AD48" i="72"/>
  <c r="AD54" i="72"/>
  <c r="AD146" i="72"/>
  <c r="AH145" i="72"/>
  <c r="AG145" i="72"/>
  <c r="AF145" i="72"/>
  <c r="AE145" i="72"/>
  <c r="AD145" i="72"/>
  <c r="AI144" i="72"/>
  <c r="AH144" i="72"/>
  <c r="AG144" i="72"/>
  <c r="AF144" i="72"/>
  <c r="AE144" i="72"/>
  <c r="AD144" i="72"/>
  <c r="AI143" i="72"/>
  <c r="AH143" i="72"/>
  <c r="AG143" i="72"/>
  <c r="AF143" i="72"/>
  <c r="AE143" i="72"/>
  <c r="AD143" i="72"/>
  <c r="AI142" i="72"/>
  <c r="AH142" i="72"/>
  <c r="AG142" i="72"/>
  <c r="AF142" i="72"/>
  <c r="AE142" i="72"/>
  <c r="AD142" i="72"/>
  <c r="AI141" i="72"/>
  <c r="AH141" i="72"/>
  <c r="AG141" i="72"/>
  <c r="AF141" i="72"/>
  <c r="AE141" i="72"/>
  <c r="AD141" i="72"/>
  <c r="AI140" i="72"/>
  <c r="AH140" i="72"/>
  <c r="AG140" i="72"/>
  <c r="AF140" i="72"/>
  <c r="AE140" i="72"/>
  <c r="AD140" i="72"/>
  <c r="AI139" i="72"/>
  <c r="AH139" i="72"/>
  <c r="AG139" i="72"/>
  <c r="AF139" i="72"/>
  <c r="AE139" i="72"/>
  <c r="AD139" i="72"/>
  <c r="AI138" i="72"/>
  <c r="AH138" i="72"/>
  <c r="AG138" i="72"/>
  <c r="AF138" i="72"/>
  <c r="AE138" i="72"/>
  <c r="AD138" i="72"/>
  <c r="AI137" i="72"/>
  <c r="AH137" i="72"/>
  <c r="AG137" i="72"/>
  <c r="AF137" i="72"/>
  <c r="AE137" i="72"/>
  <c r="AD137" i="72"/>
  <c r="AH135" i="72"/>
  <c r="AG135" i="72"/>
  <c r="AF135" i="72"/>
  <c r="AE135" i="72"/>
  <c r="AD135" i="72"/>
  <c r="AH134" i="72"/>
  <c r="AG134" i="72"/>
  <c r="AF134" i="72"/>
  <c r="AE134" i="72"/>
  <c r="AD134" i="72"/>
  <c r="AH133" i="72"/>
  <c r="AG133" i="72"/>
  <c r="AF133" i="72"/>
  <c r="AE133" i="72"/>
  <c r="AD133" i="72"/>
  <c r="AH132" i="72"/>
  <c r="AG132" i="72"/>
  <c r="AF132" i="72"/>
  <c r="AE132" i="72"/>
  <c r="AD132" i="72"/>
  <c r="AI130" i="72"/>
  <c r="AH130" i="72"/>
  <c r="AG130" i="72"/>
  <c r="AF130" i="72"/>
  <c r="AE130" i="72"/>
  <c r="AD130" i="72"/>
  <c r="AI129" i="72"/>
  <c r="AH129" i="72"/>
  <c r="AG129" i="72"/>
  <c r="AF129" i="72"/>
  <c r="AE129" i="72"/>
  <c r="AD129" i="72"/>
  <c r="AI128" i="72"/>
  <c r="AH128" i="72"/>
  <c r="AG128" i="72"/>
  <c r="AF128" i="72"/>
  <c r="AE128" i="72"/>
  <c r="AD128" i="72"/>
  <c r="AH127" i="72"/>
  <c r="AG127" i="72"/>
  <c r="AF127" i="72"/>
  <c r="AE127" i="72"/>
  <c r="AD127" i="72"/>
  <c r="AH126" i="72"/>
  <c r="AG126" i="72"/>
  <c r="AF126" i="72"/>
  <c r="AE126" i="72"/>
  <c r="AD126" i="72"/>
  <c r="AH125" i="72"/>
  <c r="AG125" i="72"/>
  <c r="AF125" i="72"/>
  <c r="AE125" i="72"/>
  <c r="AD125" i="72"/>
  <c r="AI122" i="72"/>
  <c r="AH122" i="72"/>
  <c r="AG122" i="72"/>
  <c r="AF122" i="72"/>
  <c r="AE122" i="72"/>
  <c r="AD122" i="72"/>
  <c r="AI121" i="72"/>
  <c r="AH121" i="72"/>
  <c r="AG121" i="72"/>
  <c r="AF121" i="72"/>
  <c r="AE121" i="72"/>
  <c r="AD121" i="72"/>
  <c r="AH120" i="72"/>
  <c r="AG120" i="72"/>
  <c r="AF120" i="72"/>
  <c r="AE120" i="72"/>
  <c r="AD120" i="72"/>
  <c r="AH119" i="72"/>
  <c r="AG119" i="72"/>
  <c r="AF119" i="72"/>
  <c r="AE119" i="72"/>
  <c r="AD119" i="72"/>
  <c r="AH118" i="72"/>
  <c r="AG118" i="72"/>
  <c r="AF118" i="72"/>
  <c r="AE118" i="72"/>
  <c r="AD118" i="72"/>
  <c r="AH117" i="72"/>
  <c r="AG117" i="72"/>
  <c r="AF117" i="72"/>
  <c r="AE117" i="72"/>
  <c r="AD117" i="72"/>
  <c r="AI116" i="72"/>
  <c r="AH116" i="72"/>
  <c r="AG116" i="72"/>
  <c r="AF116" i="72"/>
  <c r="AE116" i="72"/>
  <c r="AD116" i="72"/>
  <c r="AI115" i="72"/>
  <c r="AH115" i="72"/>
  <c r="AG115" i="72"/>
  <c r="AF115" i="72"/>
  <c r="AE115" i="72"/>
  <c r="AD115" i="72"/>
  <c r="AI114" i="72"/>
  <c r="AH114" i="72"/>
  <c r="AG114" i="72"/>
  <c r="AF114" i="72"/>
  <c r="AE114" i="72"/>
  <c r="AD114" i="72"/>
  <c r="AH113" i="72"/>
  <c r="AG113" i="72"/>
  <c r="AF113" i="72"/>
  <c r="AE113" i="72"/>
  <c r="AD113" i="72"/>
  <c r="AH112" i="72"/>
  <c r="AG112" i="72"/>
  <c r="AF112" i="72"/>
  <c r="AE112" i="72"/>
  <c r="AD112" i="72"/>
  <c r="AH111" i="72"/>
  <c r="AG111" i="72"/>
  <c r="AF111" i="72"/>
  <c r="AE111" i="72"/>
  <c r="AD111" i="72"/>
  <c r="AH110" i="72"/>
  <c r="AG110" i="72"/>
  <c r="AF110" i="72"/>
  <c r="AE110" i="72"/>
  <c r="AD110" i="72"/>
  <c r="P29" i="72"/>
  <c r="AH109" i="72"/>
  <c r="O29" i="72"/>
  <c r="AG109" i="72"/>
  <c r="N29" i="72"/>
  <c r="AF109" i="72"/>
  <c r="M29" i="72"/>
  <c r="AE109" i="72"/>
  <c r="L29" i="72"/>
  <c r="AD109" i="72"/>
  <c r="AI106" i="72"/>
  <c r="AH106" i="72"/>
  <c r="AG106" i="72"/>
  <c r="AF106" i="72"/>
  <c r="AE106" i="72"/>
  <c r="AD106" i="72"/>
  <c r="AI105" i="72"/>
  <c r="AH105" i="72"/>
  <c r="AG105" i="72"/>
  <c r="AF105" i="72"/>
  <c r="AE105" i="72"/>
  <c r="AD105" i="72"/>
  <c r="AH104" i="72"/>
  <c r="AG104" i="72"/>
  <c r="AF104" i="72"/>
  <c r="AE104" i="72"/>
  <c r="AD104" i="72"/>
  <c r="AH103" i="72"/>
  <c r="AG103" i="72"/>
  <c r="AF103" i="72"/>
  <c r="AE103" i="72"/>
  <c r="AD103" i="72"/>
  <c r="AH102" i="72"/>
  <c r="AG102" i="72"/>
  <c r="AF102" i="72"/>
  <c r="AE102" i="72"/>
  <c r="AD102" i="72"/>
  <c r="AH101" i="72"/>
  <c r="AG101" i="72"/>
  <c r="AF101" i="72"/>
  <c r="AE101" i="72"/>
  <c r="AD101" i="72"/>
  <c r="L30" i="72"/>
  <c r="L31" i="72"/>
  <c r="L32" i="72"/>
  <c r="L33" i="72"/>
  <c r="L34" i="72"/>
  <c r="L35" i="72"/>
  <c r="L36" i="72"/>
  <c r="L37" i="72"/>
  <c r="L38" i="72"/>
  <c r="L39" i="72"/>
  <c r="L40" i="72"/>
  <c r="L41" i="72"/>
  <c r="L42" i="72"/>
  <c r="L43" i="72"/>
  <c r="L44" i="72"/>
  <c r="L45" i="72"/>
  <c r="L48" i="72"/>
  <c r="L71" i="72"/>
  <c r="F48" i="72"/>
  <c r="M71" i="72"/>
  <c r="G48" i="72"/>
  <c r="N71" i="72"/>
  <c r="H48" i="72"/>
  <c r="O71" i="72"/>
  <c r="I48" i="72"/>
  <c r="P71" i="72"/>
  <c r="Q71" i="72"/>
  <c r="P87" i="72"/>
  <c r="P101" i="72"/>
  <c r="O87" i="72"/>
  <c r="O101" i="72"/>
  <c r="N87" i="72"/>
  <c r="N101" i="72"/>
  <c r="M87" i="72"/>
  <c r="M101" i="72"/>
  <c r="L60" i="72"/>
  <c r="AI100" i="72"/>
  <c r="AH100" i="72"/>
  <c r="AG100" i="72"/>
  <c r="AF100" i="72"/>
  <c r="AE100" i="72"/>
  <c r="AD100" i="72"/>
  <c r="P100" i="72"/>
  <c r="O100" i="72"/>
  <c r="N100" i="72"/>
  <c r="M100" i="72"/>
  <c r="P99" i="72"/>
  <c r="O99" i="72"/>
  <c r="N99" i="72"/>
  <c r="M99" i="72"/>
  <c r="AI98" i="72"/>
  <c r="AH98" i="72"/>
  <c r="AG98" i="72"/>
  <c r="AF98" i="72"/>
  <c r="AE98" i="72"/>
  <c r="AD98" i="72"/>
  <c r="P98" i="72"/>
  <c r="O98" i="72"/>
  <c r="N98" i="72"/>
  <c r="M98" i="72"/>
  <c r="AI94" i="72"/>
  <c r="AI97" i="72"/>
  <c r="AH94" i="72"/>
  <c r="AH97" i="72"/>
  <c r="AG94" i="72"/>
  <c r="AG97" i="72"/>
  <c r="AF94" i="72"/>
  <c r="AF97" i="72"/>
  <c r="AE94" i="72"/>
  <c r="AE97" i="72"/>
  <c r="AD94" i="72"/>
  <c r="AD97" i="72"/>
  <c r="P48" i="72"/>
  <c r="P97" i="72"/>
  <c r="O48" i="72"/>
  <c r="O97" i="72"/>
  <c r="N48" i="72"/>
  <c r="N97" i="72"/>
  <c r="M48" i="72"/>
  <c r="M97" i="72"/>
  <c r="L97" i="72"/>
  <c r="AI96" i="72"/>
  <c r="AH96" i="72"/>
  <c r="AG96" i="72"/>
  <c r="AF96" i="72"/>
  <c r="AE96" i="72"/>
  <c r="AD96" i="72"/>
  <c r="P96" i="72"/>
  <c r="O96" i="72"/>
  <c r="N96" i="72"/>
  <c r="M96" i="72"/>
  <c r="L83" i="72"/>
  <c r="L96" i="72"/>
  <c r="AI95" i="72"/>
  <c r="AH95" i="72"/>
  <c r="AG95" i="72"/>
  <c r="AF95" i="72"/>
  <c r="AE95" i="72"/>
  <c r="AD95" i="72"/>
  <c r="P95" i="72"/>
  <c r="O95" i="72"/>
  <c r="N95" i="72"/>
  <c r="M95" i="72"/>
  <c r="P94" i="72"/>
  <c r="O94" i="72"/>
  <c r="N94" i="72"/>
  <c r="M94" i="72"/>
  <c r="AH90" i="72"/>
  <c r="AH93" i="72"/>
  <c r="AG90" i="72"/>
  <c r="AG93" i="72"/>
  <c r="AF90" i="72"/>
  <c r="AF93" i="72"/>
  <c r="AE90" i="72"/>
  <c r="AE93" i="72"/>
  <c r="AD90" i="72"/>
  <c r="AD93" i="72"/>
  <c r="Q93" i="72"/>
  <c r="P93" i="72"/>
  <c r="O93" i="72"/>
  <c r="N93" i="72"/>
  <c r="M93" i="72"/>
  <c r="L93" i="72"/>
  <c r="AH92" i="72"/>
  <c r="AG92" i="72"/>
  <c r="AF92" i="72"/>
  <c r="AE92" i="72"/>
  <c r="AD92" i="72"/>
  <c r="R46" i="72"/>
  <c r="Q92" i="72"/>
  <c r="P92" i="72"/>
  <c r="O92" i="72"/>
  <c r="N92" i="72"/>
  <c r="M92" i="72"/>
  <c r="L92" i="72"/>
  <c r="AH91" i="72"/>
  <c r="AG91" i="72"/>
  <c r="AF91" i="72"/>
  <c r="AE91" i="72"/>
  <c r="AD91" i="72"/>
  <c r="P91" i="72"/>
  <c r="O91" i="72"/>
  <c r="N91" i="72"/>
  <c r="M91" i="72"/>
  <c r="Q90" i="72"/>
  <c r="P90" i="72"/>
  <c r="O90" i="72"/>
  <c r="N90" i="72"/>
  <c r="M90" i="72"/>
  <c r="L90" i="72"/>
  <c r="P89" i="72"/>
  <c r="O89" i="72"/>
  <c r="N89" i="72"/>
  <c r="M89" i="72"/>
  <c r="AI88" i="72"/>
  <c r="AH88" i="72"/>
  <c r="AG88" i="72"/>
  <c r="AF88" i="72"/>
  <c r="AE88" i="72"/>
  <c r="AD88" i="72"/>
  <c r="P88" i="72"/>
  <c r="O88" i="72"/>
  <c r="N88" i="72"/>
  <c r="M88" i="72"/>
  <c r="AI87" i="72"/>
  <c r="AH87" i="72"/>
  <c r="AG87" i="72"/>
  <c r="AF87" i="72"/>
  <c r="AE87" i="72"/>
  <c r="AD87" i="72"/>
  <c r="AH86" i="72"/>
  <c r="AG86" i="72"/>
  <c r="AF86" i="72"/>
  <c r="AE86" i="72"/>
  <c r="AD86" i="72"/>
  <c r="P86" i="72"/>
  <c r="O86" i="72"/>
  <c r="N86" i="72"/>
  <c r="M86" i="72"/>
  <c r="L86" i="72"/>
  <c r="AH85" i="72"/>
  <c r="AG85" i="72"/>
  <c r="AF85" i="72"/>
  <c r="AE85" i="72"/>
  <c r="AD85" i="72"/>
  <c r="P85" i="72"/>
  <c r="O85" i="72"/>
  <c r="N85" i="72"/>
  <c r="M85" i="72"/>
  <c r="L85" i="72"/>
  <c r="AH84" i="72"/>
  <c r="AG84" i="72"/>
  <c r="AF84" i="72"/>
  <c r="AE84" i="72"/>
  <c r="AD84" i="72"/>
  <c r="P84" i="72"/>
  <c r="O84" i="72"/>
  <c r="N84" i="72"/>
  <c r="M84" i="72"/>
  <c r="L84" i="72"/>
  <c r="AH83" i="72"/>
  <c r="AG83" i="72"/>
  <c r="AF83" i="72"/>
  <c r="AE83" i="72"/>
  <c r="AD83" i="72"/>
  <c r="P83" i="72"/>
  <c r="O83" i="72"/>
  <c r="N83" i="72"/>
  <c r="M83" i="72"/>
  <c r="AI72" i="72"/>
  <c r="AI61" i="72"/>
  <c r="AI82" i="72"/>
  <c r="AH61" i="72"/>
  <c r="AH82" i="72"/>
  <c r="AG61" i="72"/>
  <c r="AG82" i="72"/>
  <c r="AF61" i="72"/>
  <c r="AF82" i="72"/>
  <c r="AE61" i="72"/>
  <c r="AE82" i="72"/>
  <c r="AD61" i="72"/>
  <c r="AD82" i="72"/>
  <c r="AI79" i="72"/>
  <c r="AI81" i="72"/>
  <c r="AH79" i="72"/>
  <c r="AH81" i="72"/>
  <c r="AG79" i="72"/>
  <c r="AG81" i="72"/>
  <c r="AF79" i="72"/>
  <c r="AF81" i="72"/>
  <c r="AE79" i="72"/>
  <c r="AE81" i="72"/>
  <c r="AD79" i="72"/>
  <c r="AD81" i="72"/>
  <c r="Q64" i="72"/>
  <c r="Q81" i="72"/>
  <c r="P64" i="72"/>
  <c r="P81" i="72"/>
  <c r="O64" i="72"/>
  <c r="O81" i="72"/>
  <c r="N64" i="72"/>
  <c r="N81" i="72"/>
  <c r="M64" i="72"/>
  <c r="M81" i="72"/>
  <c r="L64" i="72"/>
  <c r="L81" i="72"/>
  <c r="AI80" i="72"/>
  <c r="AH80" i="72"/>
  <c r="AG80" i="72"/>
  <c r="AF80" i="72"/>
  <c r="AE80" i="72"/>
  <c r="AD80" i="72"/>
  <c r="P77" i="72"/>
  <c r="P80" i="72"/>
  <c r="O77" i="72"/>
  <c r="O80" i="72"/>
  <c r="N77" i="72"/>
  <c r="N80" i="72"/>
  <c r="M77" i="72"/>
  <c r="M80" i="72"/>
  <c r="P79" i="72"/>
  <c r="O79" i="72"/>
  <c r="N79" i="72"/>
  <c r="M79" i="72"/>
  <c r="AI78" i="72"/>
  <c r="AH78" i="72"/>
  <c r="AG78" i="72"/>
  <c r="AF78" i="72"/>
  <c r="AE78" i="72"/>
  <c r="AD78" i="72"/>
  <c r="P78" i="72"/>
  <c r="O78" i="72"/>
  <c r="N78" i="72"/>
  <c r="M78" i="72"/>
  <c r="AH74" i="72"/>
  <c r="AH77" i="72"/>
  <c r="AG74" i="72"/>
  <c r="AG77" i="72"/>
  <c r="AF74" i="72"/>
  <c r="AF77" i="72"/>
  <c r="AE74" i="72"/>
  <c r="AE77" i="72"/>
  <c r="AD74" i="72"/>
  <c r="AD77" i="72"/>
  <c r="AH76" i="72"/>
  <c r="AG76" i="72"/>
  <c r="AF76" i="72"/>
  <c r="AE76" i="72"/>
  <c r="AD76" i="72"/>
  <c r="P73" i="72"/>
  <c r="P76" i="72"/>
  <c r="O73" i="72"/>
  <c r="O76" i="72"/>
  <c r="N73" i="72"/>
  <c r="N76" i="72"/>
  <c r="M73" i="72"/>
  <c r="M76" i="72"/>
  <c r="AH75" i="72"/>
  <c r="AG75" i="72"/>
  <c r="AF75" i="72"/>
  <c r="AE75" i="72"/>
  <c r="AD75" i="72"/>
  <c r="P75" i="72"/>
  <c r="O75" i="72"/>
  <c r="N75" i="72"/>
  <c r="M75" i="72"/>
  <c r="P74" i="72"/>
  <c r="O74" i="72"/>
  <c r="N74" i="72"/>
  <c r="M74" i="72"/>
  <c r="AI71" i="72"/>
  <c r="AH71" i="72"/>
  <c r="AG71" i="72"/>
  <c r="AF71" i="72"/>
  <c r="AE71" i="72"/>
  <c r="AD71" i="72"/>
  <c r="AI70" i="72"/>
  <c r="AH70" i="72"/>
  <c r="AG70" i="72"/>
  <c r="AF70" i="72"/>
  <c r="AE70" i="72"/>
  <c r="AD70" i="72"/>
  <c r="P70" i="72"/>
  <c r="O70" i="72"/>
  <c r="N70" i="72"/>
  <c r="M70" i="72"/>
  <c r="AH69" i="72"/>
  <c r="AG69" i="72"/>
  <c r="AF69" i="72"/>
  <c r="AE69" i="72"/>
  <c r="AD69" i="72"/>
  <c r="P69" i="72"/>
  <c r="O69" i="72"/>
  <c r="N69" i="72"/>
  <c r="M69" i="72"/>
  <c r="AH68" i="72"/>
  <c r="AG68" i="72"/>
  <c r="AF68" i="72"/>
  <c r="AE68" i="72"/>
  <c r="AD68" i="72"/>
  <c r="P68" i="72"/>
  <c r="O68" i="72"/>
  <c r="N68" i="72"/>
  <c r="M68" i="72"/>
  <c r="AH67" i="72"/>
  <c r="AG67" i="72"/>
  <c r="AF67" i="72"/>
  <c r="AE67" i="72"/>
  <c r="AD67" i="72"/>
  <c r="P67" i="72"/>
  <c r="O67" i="72"/>
  <c r="N67" i="72"/>
  <c r="M67" i="72"/>
  <c r="AH66" i="72"/>
  <c r="AG66" i="72"/>
  <c r="AF66" i="72"/>
  <c r="AE66" i="72"/>
  <c r="AD66" i="72"/>
  <c r="P66" i="72"/>
  <c r="O66" i="72"/>
  <c r="N66" i="72"/>
  <c r="M66" i="72"/>
  <c r="AI65" i="72"/>
  <c r="AH65" i="72"/>
  <c r="AG65" i="72"/>
  <c r="AF65" i="72"/>
  <c r="AE65" i="72"/>
  <c r="AD65" i="72"/>
  <c r="P65" i="72"/>
  <c r="O65" i="72"/>
  <c r="N65" i="72"/>
  <c r="M65" i="72"/>
  <c r="AI62" i="72"/>
  <c r="AI64" i="72"/>
  <c r="AH62" i="72"/>
  <c r="AH64" i="72"/>
  <c r="AG62" i="72"/>
  <c r="AG64" i="72"/>
  <c r="AF62" i="72"/>
  <c r="AF64" i="72"/>
  <c r="AE62" i="72"/>
  <c r="AE64" i="72"/>
  <c r="AD62" i="72"/>
  <c r="AD64" i="72"/>
  <c r="AI63" i="72"/>
  <c r="AH63" i="72"/>
  <c r="AG63" i="72"/>
  <c r="AF63" i="72"/>
  <c r="AE63" i="72"/>
  <c r="AD63" i="72"/>
  <c r="P61" i="72"/>
  <c r="P63" i="72"/>
  <c r="O61" i="72"/>
  <c r="O63" i="72"/>
  <c r="N61" i="72"/>
  <c r="N63" i="72"/>
  <c r="M61" i="72"/>
  <c r="M63" i="72"/>
  <c r="L61" i="72"/>
  <c r="L62" i="72"/>
  <c r="L63" i="72"/>
  <c r="P62" i="72"/>
  <c r="O62" i="72"/>
  <c r="N62" i="72"/>
  <c r="M62" i="72"/>
  <c r="G46" i="72"/>
  <c r="H46" i="72"/>
  <c r="I46" i="72"/>
  <c r="J46" i="72"/>
  <c r="H62" i="72"/>
  <c r="H61" i="72"/>
  <c r="AH57" i="72"/>
  <c r="AH60" i="72"/>
  <c r="AG57" i="72"/>
  <c r="AG60" i="72"/>
  <c r="AF57" i="72"/>
  <c r="AF60" i="72"/>
  <c r="AE57" i="72"/>
  <c r="AE60" i="72"/>
  <c r="AD57" i="72"/>
  <c r="AD60" i="72"/>
  <c r="P60" i="72"/>
  <c r="O60" i="72"/>
  <c r="N60" i="72"/>
  <c r="M60" i="72"/>
  <c r="H60" i="72"/>
  <c r="AH59" i="72"/>
  <c r="AG59" i="72"/>
  <c r="AF59" i="72"/>
  <c r="AE59" i="72"/>
  <c r="AD59" i="72"/>
  <c r="P59" i="72"/>
  <c r="O59" i="72"/>
  <c r="N59" i="72"/>
  <c r="M59" i="72"/>
  <c r="L46" i="72"/>
  <c r="L56" i="72"/>
  <c r="L47" i="72"/>
  <c r="L58" i="72"/>
  <c r="L57" i="72"/>
  <c r="L59" i="72"/>
  <c r="AH58" i="72"/>
  <c r="AG58" i="72"/>
  <c r="AF58" i="72"/>
  <c r="AE58" i="72"/>
  <c r="AD58" i="72"/>
  <c r="P58" i="72"/>
  <c r="O58" i="72"/>
  <c r="N58" i="72"/>
  <c r="M58" i="72"/>
  <c r="P57" i="72"/>
  <c r="O57" i="72"/>
  <c r="N57" i="72"/>
  <c r="M57" i="72"/>
  <c r="H57" i="72"/>
  <c r="AH56" i="72"/>
  <c r="AG56" i="72"/>
  <c r="AF56" i="72"/>
  <c r="AE56" i="72"/>
  <c r="AD56" i="72"/>
  <c r="P56" i="72"/>
  <c r="O56" i="72"/>
  <c r="N56" i="72"/>
  <c r="M56" i="72"/>
  <c r="P55" i="72"/>
  <c r="O55" i="72"/>
  <c r="N55" i="72"/>
  <c r="M55" i="72"/>
  <c r="L55" i="72"/>
  <c r="AI54" i="72"/>
  <c r="AB54" i="72"/>
  <c r="AA54" i="72"/>
  <c r="Z54" i="72"/>
  <c r="Y54" i="72"/>
  <c r="X54" i="72"/>
  <c r="W54" i="72"/>
  <c r="V54" i="72"/>
  <c r="AI53" i="72"/>
  <c r="AH47" i="72"/>
  <c r="AH51" i="72"/>
  <c r="AH53" i="72"/>
  <c r="AG47" i="72"/>
  <c r="AG51" i="72"/>
  <c r="AG53" i="72"/>
  <c r="AF47" i="72"/>
  <c r="AF51" i="72"/>
  <c r="AF53" i="72"/>
  <c r="AE47" i="72"/>
  <c r="AE51" i="72"/>
  <c r="AE53" i="72"/>
  <c r="AD47" i="72"/>
  <c r="AD51" i="72"/>
  <c r="AD53" i="72"/>
  <c r="AA50" i="72"/>
  <c r="AA47" i="72"/>
  <c r="AA52" i="72"/>
  <c r="AA53" i="72"/>
  <c r="Z50" i="72"/>
  <c r="Z47" i="72"/>
  <c r="Z52" i="72"/>
  <c r="Z53" i="72"/>
  <c r="Y50" i="72"/>
  <c r="Y47" i="72"/>
  <c r="Y52" i="72"/>
  <c r="Y53" i="72"/>
  <c r="X50" i="72"/>
  <c r="X47" i="72"/>
  <c r="X52" i="72"/>
  <c r="X53" i="72"/>
  <c r="W50" i="72"/>
  <c r="W47" i="72"/>
  <c r="W52" i="72"/>
  <c r="W53" i="72"/>
  <c r="V50" i="72"/>
  <c r="V47" i="72"/>
  <c r="V52" i="72"/>
  <c r="V53" i="72"/>
  <c r="AH46" i="72"/>
  <c r="AH52" i="72"/>
  <c r="AG46" i="72"/>
  <c r="AG52" i="72"/>
  <c r="AF46" i="72"/>
  <c r="AF52" i="72"/>
  <c r="AE46" i="72"/>
  <c r="AE52" i="72"/>
  <c r="AD46" i="72"/>
  <c r="AD52" i="72"/>
  <c r="AI51" i="72"/>
  <c r="AB46" i="72"/>
  <c r="AB51" i="72"/>
  <c r="AA51" i="72"/>
  <c r="Z51" i="72"/>
  <c r="Y51" i="72"/>
  <c r="X51" i="72"/>
  <c r="W51" i="72"/>
  <c r="V51" i="72"/>
  <c r="AH50" i="72"/>
  <c r="AG50" i="72"/>
  <c r="AF50" i="72"/>
  <c r="AE50" i="72"/>
  <c r="AD50" i="72"/>
  <c r="J48" i="72"/>
  <c r="J50" i="72"/>
  <c r="I50" i="72"/>
  <c r="H50" i="72"/>
  <c r="G50" i="72"/>
  <c r="F50" i="72"/>
  <c r="E50" i="72"/>
  <c r="D50" i="72"/>
  <c r="Q48" i="72"/>
  <c r="AI47" i="72"/>
  <c r="M47" i="72"/>
  <c r="N47" i="72"/>
  <c r="O47" i="72"/>
  <c r="P47" i="72"/>
  <c r="Q47" i="72"/>
  <c r="I47" i="72"/>
  <c r="H47" i="72"/>
  <c r="G47" i="72"/>
  <c r="F47" i="72"/>
  <c r="E47" i="72"/>
  <c r="D47" i="72"/>
  <c r="P46" i="72"/>
  <c r="O46" i="72"/>
  <c r="N46" i="72"/>
  <c r="M46" i="72"/>
  <c r="AA45" i="72"/>
  <c r="Z45" i="72"/>
  <c r="AH45" i="72"/>
  <c r="Y45" i="72"/>
  <c r="AG45" i="72"/>
  <c r="X45" i="72"/>
  <c r="AF45" i="72"/>
  <c r="W45" i="72"/>
  <c r="AE45" i="72"/>
  <c r="V45" i="72"/>
  <c r="AD45" i="72"/>
  <c r="R45" i="72"/>
  <c r="P45" i="72"/>
  <c r="O45" i="72"/>
  <c r="N45" i="72"/>
  <c r="AA44" i="72"/>
  <c r="Z44" i="72"/>
  <c r="AH44" i="72"/>
  <c r="Y44" i="72"/>
  <c r="AG44" i="72"/>
  <c r="X44" i="72"/>
  <c r="AF44" i="72"/>
  <c r="W44" i="72"/>
  <c r="AE44" i="72"/>
  <c r="V44" i="72"/>
  <c r="AD44" i="72"/>
  <c r="R44" i="72"/>
  <c r="P44" i="72"/>
  <c r="O44" i="72"/>
  <c r="N44" i="72"/>
  <c r="M44" i="72"/>
  <c r="AA43" i="72"/>
  <c r="Z43" i="72"/>
  <c r="AH43" i="72"/>
  <c r="Y43" i="72"/>
  <c r="AG43" i="72"/>
  <c r="X43" i="72"/>
  <c r="AF43" i="72"/>
  <c r="W43" i="72"/>
  <c r="AE43" i="72"/>
  <c r="V43" i="72"/>
  <c r="AD43" i="72"/>
  <c r="R43" i="72"/>
  <c r="P43" i="72"/>
  <c r="O43" i="72"/>
  <c r="N43" i="72"/>
  <c r="M43" i="72"/>
  <c r="AA42" i="72"/>
  <c r="Z42" i="72"/>
  <c r="AH42" i="72"/>
  <c r="Y42" i="72"/>
  <c r="AG42" i="72"/>
  <c r="X42" i="72"/>
  <c r="AF42" i="72"/>
  <c r="W42" i="72"/>
  <c r="AE42" i="72"/>
  <c r="V42" i="72"/>
  <c r="AD42" i="72"/>
  <c r="R42" i="72"/>
  <c r="P42" i="72"/>
  <c r="O42" i="72"/>
  <c r="N42" i="72"/>
  <c r="M42" i="72"/>
  <c r="AA41" i="72"/>
  <c r="Z41" i="72"/>
  <c r="AH41" i="72"/>
  <c r="Y41" i="72"/>
  <c r="AG41" i="72"/>
  <c r="X41" i="72"/>
  <c r="AF41" i="72"/>
  <c r="W41" i="72"/>
  <c r="AE41" i="72"/>
  <c r="V41" i="72"/>
  <c r="AD41" i="72"/>
  <c r="R41" i="72"/>
  <c r="P41" i="72"/>
  <c r="O41" i="72"/>
  <c r="N41" i="72"/>
  <c r="M41" i="72"/>
  <c r="AA40" i="72"/>
  <c r="Z40" i="72"/>
  <c r="AH40" i="72"/>
  <c r="Y40" i="72"/>
  <c r="AG40" i="72"/>
  <c r="X40" i="72"/>
  <c r="AF40" i="72"/>
  <c r="W40" i="72"/>
  <c r="AE40" i="72"/>
  <c r="V40" i="72"/>
  <c r="AD40" i="72"/>
  <c r="R40" i="72"/>
  <c r="P40" i="72"/>
  <c r="O40" i="72"/>
  <c r="N40" i="72"/>
  <c r="M40" i="72"/>
  <c r="AA39" i="72"/>
  <c r="Z39" i="72"/>
  <c r="AH39" i="72"/>
  <c r="Y39" i="72"/>
  <c r="AG39" i="72"/>
  <c r="X39" i="72"/>
  <c r="AF39" i="72"/>
  <c r="W39" i="72"/>
  <c r="AE39" i="72"/>
  <c r="V39" i="72"/>
  <c r="AD39" i="72"/>
  <c r="R39" i="72"/>
  <c r="P39" i="72"/>
  <c r="O39" i="72"/>
  <c r="N39" i="72"/>
  <c r="M39" i="72"/>
  <c r="AA38" i="72"/>
  <c r="Z38" i="72"/>
  <c r="AH38" i="72"/>
  <c r="Y38" i="72"/>
  <c r="AG38" i="72"/>
  <c r="X38" i="72"/>
  <c r="AF38" i="72"/>
  <c r="W38" i="72"/>
  <c r="AE38" i="72"/>
  <c r="V38" i="72"/>
  <c r="AD38" i="72"/>
  <c r="R38" i="72"/>
  <c r="P38" i="72"/>
  <c r="O38" i="72"/>
  <c r="N38" i="72"/>
  <c r="M38" i="72"/>
  <c r="AA37" i="72"/>
  <c r="Z37" i="72"/>
  <c r="AH37" i="72"/>
  <c r="Y37" i="72"/>
  <c r="AG37" i="72"/>
  <c r="X37" i="72"/>
  <c r="AF37" i="72"/>
  <c r="W37" i="72"/>
  <c r="AE37" i="72"/>
  <c r="V37" i="72"/>
  <c r="AD37" i="72"/>
  <c r="R37" i="72"/>
  <c r="P37" i="72"/>
  <c r="O37" i="72"/>
  <c r="N37" i="72"/>
  <c r="M37" i="72"/>
  <c r="AA36" i="72"/>
  <c r="Z36" i="72"/>
  <c r="AH36" i="72"/>
  <c r="Y36" i="72"/>
  <c r="AG36" i="72"/>
  <c r="X36" i="72"/>
  <c r="AF36" i="72"/>
  <c r="W36" i="72"/>
  <c r="AE36" i="72"/>
  <c r="V36" i="72"/>
  <c r="AD36" i="72"/>
  <c r="R36" i="72"/>
  <c r="P36" i="72"/>
  <c r="O36" i="72"/>
  <c r="N36" i="72"/>
  <c r="M36" i="72"/>
  <c r="AA35" i="72"/>
  <c r="Z35" i="72"/>
  <c r="AH35" i="72"/>
  <c r="Y35" i="72"/>
  <c r="AG35" i="72"/>
  <c r="X35" i="72"/>
  <c r="AF35" i="72"/>
  <c r="W35" i="72"/>
  <c r="AE35" i="72"/>
  <c r="V35" i="72"/>
  <c r="AD35" i="72"/>
  <c r="R35" i="72"/>
  <c r="P35" i="72"/>
  <c r="O35" i="72"/>
  <c r="N35" i="72"/>
  <c r="M35" i="72"/>
  <c r="AA34" i="72"/>
  <c r="Z34" i="72"/>
  <c r="AH34" i="72"/>
  <c r="Y34" i="72"/>
  <c r="AG34" i="72"/>
  <c r="X34" i="72"/>
  <c r="AF34" i="72"/>
  <c r="W34" i="72"/>
  <c r="AE34" i="72"/>
  <c r="V34" i="72"/>
  <c r="AD34" i="72"/>
  <c r="R34" i="72"/>
  <c r="P34" i="72"/>
  <c r="O34" i="72"/>
  <c r="N34" i="72"/>
  <c r="M34" i="72"/>
  <c r="AA33" i="72"/>
  <c r="Z33" i="72"/>
  <c r="AH33" i="72"/>
  <c r="Y33" i="72"/>
  <c r="AG33" i="72"/>
  <c r="X33" i="72"/>
  <c r="AF33" i="72"/>
  <c r="W33" i="72"/>
  <c r="AE33" i="72"/>
  <c r="V33" i="72"/>
  <c r="AD33" i="72"/>
  <c r="R33" i="72"/>
  <c r="P33" i="72"/>
  <c r="O33" i="72"/>
  <c r="N33" i="72"/>
  <c r="M33" i="72"/>
  <c r="AA32" i="72"/>
  <c r="Z32" i="72"/>
  <c r="AH32" i="72"/>
  <c r="Y32" i="72"/>
  <c r="AG32" i="72"/>
  <c r="X32" i="72"/>
  <c r="AF32" i="72"/>
  <c r="W32" i="72"/>
  <c r="AE32" i="72"/>
  <c r="V32" i="72"/>
  <c r="AD32" i="72"/>
  <c r="R32" i="72"/>
  <c r="P32" i="72"/>
  <c r="O32" i="72"/>
  <c r="N32" i="72"/>
  <c r="M32" i="72"/>
  <c r="V31" i="72"/>
  <c r="W31" i="72"/>
  <c r="AJ31" i="72"/>
  <c r="AD31" i="72"/>
  <c r="R31" i="72"/>
  <c r="M31" i="72"/>
  <c r="V30" i="72"/>
  <c r="W30" i="72"/>
  <c r="AJ30" i="72"/>
  <c r="AD30" i="72"/>
  <c r="R30" i="72"/>
  <c r="M30" i="72"/>
  <c r="AH29" i="72"/>
  <c r="AG29" i="72"/>
  <c r="AF29" i="72"/>
  <c r="AE29" i="72"/>
  <c r="AD29" i="72"/>
  <c r="AA29" i="72"/>
  <c r="Z29" i="72"/>
  <c r="Y29" i="72"/>
  <c r="X29" i="72"/>
  <c r="W29" i="72"/>
  <c r="V29" i="72"/>
  <c r="AJ32" i="72"/>
  <c r="AJ33" i="72"/>
  <c r="AJ34" i="72"/>
  <c r="AJ35" i="72"/>
  <c r="AJ36" i="72"/>
  <c r="AJ37" i="72"/>
  <c r="AJ38" i="72"/>
  <c r="AJ39" i="72"/>
  <c r="AJ40" i="72"/>
  <c r="AJ41" i="72"/>
  <c r="AJ42" i="72"/>
  <c r="AJ43" i="72"/>
  <c r="AJ44" i="72"/>
  <c r="AJ45" i="72"/>
  <c r="AB47" i="72"/>
  <c r="AB52" i="72"/>
  <c r="AB53" i="72"/>
  <c r="Q60" i="72"/>
  <c r="Q61" i="72"/>
  <c r="Q62" i="72"/>
  <c r="Q63" i="72"/>
  <c r="J47" i="72"/>
  <c r="H65" i="72"/>
  <c r="L87" i="72"/>
  <c r="L98" i="72"/>
  <c r="L65" i="72"/>
  <c r="Q87" i="72"/>
  <c r="Q65" i="72"/>
  <c r="L99" i="72"/>
  <c r="L100" i="72"/>
  <c r="L66" i="72"/>
  <c r="Q66" i="72"/>
  <c r="AI136" i="72"/>
  <c r="AI117" i="72"/>
  <c r="AI66" i="72"/>
  <c r="L101" i="72"/>
  <c r="L67" i="72"/>
  <c r="Q67" i="72"/>
  <c r="AI118" i="72"/>
  <c r="AI67" i="72"/>
  <c r="H68" i="72"/>
  <c r="AI119" i="72"/>
  <c r="AI68" i="72"/>
  <c r="L68" i="72"/>
  <c r="L69" i="72"/>
  <c r="Q68" i="72"/>
  <c r="Q69" i="72"/>
  <c r="AI120" i="72"/>
  <c r="AI69" i="72"/>
  <c r="L70" i="72"/>
  <c r="Q70" i="72"/>
  <c r="L74" i="72"/>
  <c r="L75" i="72"/>
  <c r="L73" i="72"/>
  <c r="L76" i="72"/>
  <c r="L78" i="72"/>
  <c r="Q78" i="72"/>
  <c r="L79" i="72"/>
  <c r="Q79" i="72"/>
  <c r="L77" i="72"/>
  <c r="L80" i="72"/>
  <c r="Q77" i="72"/>
  <c r="Q80" i="72"/>
  <c r="Q96" i="72"/>
  <c r="Q83" i="72"/>
  <c r="AI83" i="72"/>
  <c r="AI84" i="72"/>
  <c r="AI85" i="72"/>
  <c r="AI86" i="72"/>
  <c r="L91" i="72"/>
  <c r="L94" i="72"/>
  <c r="L88" i="72"/>
  <c r="Q91" i="72"/>
  <c r="Q94" i="72"/>
  <c r="Q88" i="72"/>
  <c r="L95" i="72"/>
  <c r="L89" i="72"/>
  <c r="Q95" i="72"/>
  <c r="Q89" i="72"/>
  <c r="Q98" i="72"/>
  <c r="Q99" i="72"/>
  <c r="Q100" i="72"/>
  <c r="Q101" i="72"/>
  <c r="AI104" i="72"/>
  <c r="AI145" i="72"/>
  <c r="AI132" i="72"/>
  <c r="AI147" i="72"/>
  <c r="AI148" i="72"/>
  <c r="AI149" i="72"/>
  <c r="AI150" i="72"/>
  <c r="AJ32" i="78"/>
  <c r="AJ33" i="78"/>
  <c r="AJ34" i="78"/>
  <c r="AJ35" i="78"/>
  <c r="AJ36" i="78"/>
  <c r="AJ37" i="78"/>
  <c r="AJ38" i="78"/>
  <c r="AJ39" i="78"/>
  <c r="AJ40" i="78"/>
  <c r="AJ41" i="78"/>
  <c r="AJ42" i="78"/>
  <c r="AJ43" i="78"/>
  <c r="AJ44" i="78"/>
  <c r="AJ45" i="78"/>
  <c r="AB47" i="78"/>
  <c r="AB52" i="78"/>
  <c r="AB53" i="78"/>
  <c r="Q60" i="78"/>
  <c r="Q61" i="78"/>
  <c r="Q62" i="78"/>
  <c r="Q63" i="78"/>
  <c r="J47" i="78"/>
  <c r="H65" i="78"/>
  <c r="L87" i="78"/>
  <c r="L98" i="78"/>
  <c r="L65" i="78"/>
  <c r="Q87" i="78"/>
  <c r="Q65" i="78"/>
  <c r="L99" i="78"/>
  <c r="L100" i="78"/>
  <c r="L66" i="78"/>
  <c r="Q66" i="78"/>
  <c r="AI136" i="78"/>
  <c r="AI117" i="78"/>
  <c r="AI66" i="78"/>
  <c r="L101" i="78"/>
  <c r="L67" i="78"/>
  <c r="Q67" i="78"/>
  <c r="AI118" i="78"/>
  <c r="AI67" i="78"/>
  <c r="H68" i="78"/>
  <c r="AI119" i="78"/>
  <c r="AI68" i="78"/>
  <c r="L68" i="78"/>
  <c r="L69" i="78"/>
  <c r="Q68" i="78"/>
  <c r="Q69" i="78"/>
  <c r="AI120" i="78"/>
  <c r="AI69" i="78"/>
  <c r="L70" i="78"/>
  <c r="Q70" i="78"/>
  <c r="L74" i="78"/>
  <c r="L75" i="78"/>
  <c r="L73" i="78"/>
  <c r="L76" i="78"/>
  <c r="L78" i="78"/>
  <c r="Q78" i="78"/>
  <c r="L79" i="78"/>
  <c r="Q79" i="78"/>
  <c r="L77" i="78"/>
  <c r="L80" i="78"/>
  <c r="Q77" i="78"/>
  <c r="Q80" i="78"/>
  <c r="Q96" i="78"/>
  <c r="Q83" i="78"/>
  <c r="AI83" i="78"/>
  <c r="AI84" i="78"/>
  <c r="AI85" i="78"/>
  <c r="AI86" i="78"/>
  <c r="L91" i="78"/>
  <c r="L94" i="78"/>
  <c r="L88" i="78"/>
  <c r="Q91" i="78"/>
  <c r="Q94" i="78"/>
  <c r="Q88" i="78"/>
  <c r="L95" i="78"/>
  <c r="L89" i="78"/>
  <c r="Q95" i="78"/>
  <c r="Q89" i="78"/>
  <c r="Q98" i="78"/>
  <c r="Q99" i="78"/>
  <c r="Q100" i="78"/>
  <c r="Q101" i="78"/>
  <c r="AI104" i="78"/>
  <c r="AI145" i="78"/>
  <c r="AI132" i="78"/>
  <c r="AI147" i="78"/>
  <c r="AI148" i="78"/>
  <c r="AI149" i="78"/>
  <c r="AI150" i="78"/>
  <c r="O60" i="77"/>
  <c r="AH114" i="77"/>
  <c r="AF46" i="77"/>
  <c r="AE49" i="77"/>
  <c r="AG39" i="77"/>
  <c r="Q53" i="77"/>
  <c r="AH46" i="77"/>
  <c r="AF48" i="77"/>
  <c r="F52" i="77"/>
  <c r="AD57" i="77"/>
  <c r="AG41" i="77"/>
  <c r="AH39" i="77"/>
  <c r="AH41" i="77"/>
  <c r="AH43" i="77"/>
  <c r="AE48" i="77"/>
  <c r="I55" i="77"/>
  <c r="AF61" i="77"/>
  <c r="AF41" i="77"/>
  <c r="AG46" i="77"/>
  <c r="AG48" i="77"/>
  <c r="AG61" i="77"/>
  <c r="AF114" i="77"/>
  <c r="W59" i="77"/>
  <c r="W55" i="77"/>
  <c r="W52" i="77"/>
  <c r="W57" i="77"/>
  <c r="W58" i="77"/>
  <c r="AG29" i="77"/>
  <c r="AF39" i="77"/>
  <c r="H52" i="77"/>
  <c r="AG55" i="77"/>
  <c r="AF42" i="77"/>
  <c r="AE57" i="77"/>
  <c r="AE55" i="77"/>
  <c r="Y59" i="77"/>
  <c r="Y55" i="77"/>
  <c r="Y52" i="77"/>
  <c r="Y57" i="77"/>
  <c r="Y58" i="77"/>
  <c r="AG37" i="77"/>
  <c r="AH49" i="77"/>
  <c r="AF50" i="77"/>
  <c r="G55" i="77"/>
  <c r="O76" i="77"/>
  <c r="O61" i="77"/>
  <c r="G52" i="77"/>
  <c r="AE114" i="77"/>
  <c r="M60" i="77"/>
  <c r="AE29" i="77"/>
  <c r="AG45" i="77"/>
  <c r="AB59" i="77"/>
  <c r="AG43" i="77"/>
  <c r="AF43" i="77"/>
  <c r="N76" i="77"/>
  <c r="AF37" i="77"/>
  <c r="AH37" i="77"/>
  <c r="AF38" i="77"/>
  <c r="AE39" i="77"/>
  <c r="AE43" i="77"/>
  <c r="AG49" i="77"/>
  <c r="AG50" i="77"/>
  <c r="F55" i="77"/>
  <c r="X55" i="77"/>
  <c r="X52" i="77"/>
  <c r="X57" i="77"/>
  <c r="X58" i="77"/>
  <c r="AF29" i="77"/>
  <c r="AH38" i="77"/>
  <c r="AH40" i="77"/>
  <c r="AG42" i="77"/>
  <c r="AE50" i="77"/>
  <c r="P76" i="77"/>
  <c r="P95" i="77"/>
  <c r="V59" i="77"/>
  <c r="V51" i="77"/>
  <c r="AH45" i="77"/>
  <c r="X51" i="77"/>
  <c r="X56" i="77"/>
  <c r="AF40" i="77"/>
  <c r="AH50" i="77"/>
  <c r="AH57" i="77"/>
  <c r="V55" i="77"/>
  <c r="V52" i="77"/>
  <c r="AA59" i="77"/>
  <c r="O93" i="77"/>
  <c r="AD114" i="77"/>
  <c r="AD61" i="77"/>
  <c r="L60" i="77"/>
  <c r="AD29" i="77"/>
  <c r="AF49" i="77"/>
  <c r="AG38" i="77"/>
  <c r="AE40" i="77"/>
  <c r="AE42" i="77"/>
  <c r="AH42" i="77"/>
  <c r="AF45" i="77"/>
  <c r="AF55" i="77"/>
  <c r="O101" i="77"/>
  <c r="O74" i="77"/>
  <c r="P94" i="77"/>
  <c r="Z51" i="77"/>
  <c r="Z56" i="77"/>
  <c r="AE37" i="77"/>
  <c r="AE41" i="77"/>
  <c r="AE46" i="77"/>
  <c r="H55" i="77"/>
  <c r="Z59" i="77"/>
  <c r="P62" i="77"/>
  <c r="P91" i="77"/>
  <c r="Y51" i="77"/>
  <c r="Y56" i="77"/>
  <c r="W51" i="77"/>
  <c r="W56" i="77"/>
  <c r="P74" i="77"/>
  <c r="P69" i="77"/>
  <c r="P86" i="77"/>
  <c r="M76" i="77"/>
  <c r="M62" i="77"/>
  <c r="AJ38" i="77"/>
  <c r="D52" i="77"/>
  <c r="D55" i="77"/>
  <c r="AJ42" i="77"/>
  <c r="AD35" i="77"/>
  <c r="AE38" i="77"/>
  <c r="AD43" i="77"/>
  <c r="AD49" i="77"/>
  <c r="L51" i="77"/>
  <c r="R48" i="77"/>
  <c r="AJ36" i="77"/>
  <c r="AD39" i="77"/>
  <c r="R42" i="77"/>
  <c r="AD45" i="77"/>
  <c r="AJ35" i="77"/>
  <c r="AJ48" i="77"/>
  <c r="R36" i="77"/>
  <c r="R38" i="77"/>
  <c r="AD40" i="77"/>
  <c r="AD36" i="77"/>
  <c r="R37" i="77"/>
  <c r="AD38" i="77"/>
  <c r="R41" i="77"/>
  <c r="AD42" i="77"/>
  <c r="R46" i="77"/>
  <c r="AD48" i="77"/>
  <c r="E52" i="77"/>
  <c r="E55" i="77"/>
  <c r="J51" i="77"/>
  <c r="AD37" i="77"/>
  <c r="R40" i="77"/>
  <c r="AD41" i="77"/>
  <c r="R45" i="77"/>
  <c r="AD46" i="77"/>
  <c r="R50" i="77"/>
  <c r="L53" i="77"/>
  <c r="R35" i="77"/>
  <c r="R39" i="77"/>
  <c r="R43" i="77"/>
  <c r="R49" i="77"/>
  <c r="AD50" i="77"/>
  <c r="AJ46" i="77"/>
  <c r="AJ41" i="77"/>
  <c r="AJ37" i="77"/>
  <c r="AJ50" i="77"/>
  <c r="AJ45" i="77"/>
  <c r="AJ40" i="77"/>
  <c r="L52" i="77"/>
  <c r="AJ49" i="77"/>
  <c r="AJ43" i="77"/>
  <c r="AJ39" i="77"/>
  <c r="M88" i="77"/>
  <c r="M65" i="77"/>
  <c r="O94" i="77"/>
  <c r="O67" i="77"/>
  <c r="M94" i="77"/>
  <c r="M101" i="77"/>
  <c r="O97" i="77"/>
  <c r="M67" i="77"/>
  <c r="M91" i="77"/>
  <c r="O95" i="77"/>
  <c r="O90" i="77"/>
  <c r="M64" i="77"/>
  <c r="M66" i="77"/>
  <c r="M68" i="77"/>
  <c r="P73" i="77"/>
  <c r="P101" i="77"/>
  <c r="M92" i="77"/>
  <c r="M79" i="77"/>
  <c r="M98" i="77"/>
  <c r="P98" i="77"/>
  <c r="AE128" i="77"/>
  <c r="AE77" i="77"/>
  <c r="O73" i="77"/>
  <c r="O89" i="77"/>
  <c r="O99" i="77"/>
  <c r="O63" i="77"/>
  <c r="O96" i="77"/>
  <c r="O65" i="77"/>
  <c r="O75" i="77"/>
  <c r="M95" i="77"/>
  <c r="M89" i="77"/>
  <c r="M96" i="77"/>
  <c r="M74" i="77"/>
  <c r="M63" i="77"/>
  <c r="AG128" i="77"/>
  <c r="AG141" i="77"/>
  <c r="AG109" i="77"/>
  <c r="O66" i="77"/>
  <c r="O68" i="77"/>
  <c r="O69" i="77"/>
  <c r="O86" i="77"/>
  <c r="O100" i="77"/>
  <c r="O91" i="77"/>
  <c r="O64" i="77"/>
  <c r="P92" i="77"/>
  <c r="P96" i="77"/>
  <c r="P90" i="77"/>
  <c r="P79" i="77"/>
  <c r="P61" i="77"/>
  <c r="P100" i="77"/>
  <c r="P93" i="77"/>
  <c r="P64" i="77"/>
  <c r="P97" i="77"/>
  <c r="P75" i="77"/>
  <c r="P65" i="77"/>
  <c r="P66" i="77"/>
  <c r="P68" i="77"/>
  <c r="P63" i="77"/>
  <c r="P102" i="77"/>
  <c r="P99" i="77"/>
  <c r="P88" i="77"/>
  <c r="N99" i="77"/>
  <c r="N94" i="77"/>
  <c r="N88" i="77"/>
  <c r="N75" i="77"/>
  <c r="N66" i="77"/>
  <c r="N68" i="77"/>
  <c r="N65" i="77"/>
  <c r="N92" i="77"/>
  <c r="N71" i="77"/>
  <c r="N98" i="77"/>
  <c r="N90" i="77"/>
  <c r="N69" i="77"/>
  <c r="N86" i="77"/>
  <c r="N78" i="77"/>
  <c r="N81" i="77"/>
  <c r="N74" i="77"/>
  <c r="N67" i="77"/>
  <c r="N63" i="77"/>
  <c r="N61" i="77"/>
  <c r="N102" i="77"/>
  <c r="N100" i="77"/>
  <c r="N96" i="77"/>
  <c r="N93" i="77"/>
  <c r="N89" i="77"/>
  <c r="N73" i="77"/>
  <c r="N64" i="77"/>
  <c r="N62" i="77"/>
  <c r="N97" i="77"/>
  <c r="N95" i="77"/>
  <c r="N91" i="77"/>
  <c r="N101" i="77"/>
  <c r="M61" i="77"/>
  <c r="M97" i="77"/>
  <c r="M99" i="77"/>
  <c r="M93" i="77"/>
  <c r="M75" i="77"/>
  <c r="P103" i="77"/>
  <c r="P80" i="77"/>
  <c r="P71" i="77"/>
  <c r="P89" i="77"/>
  <c r="P67" i="77"/>
  <c r="AH128" i="77"/>
  <c r="AH145" i="77"/>
  <c r="P105" i="77"/>
  <c r="O98" i="77"/>
  <c r="O88" i="77"/>
  <c r="O92" i="77"/>
  <c r="O103" i="77"/>
  <c r="O62" i="77"/>
  <c r="O102" i="77"/>
  <c r="AB51" i="77"/>
  <c r="AB56" i="77"/>
  <c r="V56" i="77"/>
  <c r="AE144" i="77"/>
  <c r="AE142" i="77"/>
  <c r="AE110" i="77"/>
  <c r="AE147" i="77"/>
  <c r="AE139" i="77"/>
  <c r="AE107" i="77"/>
  <c r="AE120" i="77"/>
  <c r="AE116" i="77"/>
  <c r="AB52" i="77"/>
  <c r="V57" i="77"/>
  <c r="V58" i="77"/>
  <c r="AF128" i="77"/>
  <c r="AG147" i="77"/>
  <c r="M100" i="77"/>
  <c r="M73" i="77"/>
  <c r="M69" i="77"/>
  <c r="M86" i="77"/>
  <c r="M102" i="77"/>
  <c r="M90" i="77"/>
  <c r="AD128" i="77"/>
  <c r="J52" i="77"/>
  <c r="Q73" i="77"/>
  <c r="L76" i="77"/>
  <c r="Q52" i="77"/>
  <c r="AE151" i="77"/>
  <c r="AE118" i="77"/>
  <c r="AE119" i="77"/>
  <c r="AE67" i="77"/>
  <c r="AE69" i="77"/>
  <c r="AH115" i="77"/>
  <c r="AH79" i="77"/>
  <c r="AH82" i="77"/>
  <c r="AG137" i="77"/>
  <c r="AG105" i="77"/>
  <c r="AE140" i="77"/>
  <c r="AE108" i="77"/>
  <c r="AE137" i="77"/>
  <c r="AE105" i="77"/>
  <c r="AE138" i="77"/>
  <c r="AE106" i="77"/>
  <c r="M83" i="77"/>
  <c r="M106" i="77"/>
  <c r="O79" i="77"/>
  <c r="AH139" i="77"/>
  <c r="AH107" i="77"/>
  <c r="M105" i="77"/>
  <c r="M71" i="77"/>
  <c r="O106" i="77"/>
  <c r="AG120" i="77"/>
  <c r="AG85" i="77"/>
  <c r="AH126" i="77"/>
  <c r="N105" i="77"/>
  <c r="M72" i="77"/>
  <c r="M82" i="77"/>
  <c r="M85" i="77"/>
  <c r="O80" i="77"/>
  <c r="AG119" i="77"/>
  <c r="AG67" i="77"/>
  <c r="AG69" i="77"/>
  <c r="AE126" i="77"/>
  <c r="AE125" i="77"/>
  <c r="AE74" i="77"/>
  <c r="AE145" i="77"/>
  <c r="AE123" i="77"/>
  <c r="AE89" i="77"/>
  <c r="AE148" i="77"/>
  <c r="AE121" i="77"/>
  <c r="AE103" i="77"/>
  <c r="AE141" i="77"/>
  <c r="AH140" i="77"/>
  <c r="AH108" i="77"/>
  <c r="N82" i="77"/>
  <c r="N85" i="77"/>
  <c r="N83" i="77"/>
  <c r="N80" i="77"/>
  <c r="N70" i="77"/>
  <c r="M70" i="77"/>
  <c r="M84" i="77"/>
  <c r="M104" i="77"/>
  <c r="M78" i="77"/>
  <c r="M81" i="77"/>
  <c r="AG150" i="77"/>
  <c r="AG116" i="77"/>
  <c r="AG80" i="77"/>
  <c r="M103" i="77"/>
  <c r="M80" i="77"/>
  <c r="AE150" i="77"/>
  <c r="AG77" i="77"/>
  <c r="AG125" i="77"/>
  <c r="AG74" i="77"/>
  <c r="AE149" i="77"/>
  <c r="AE117" i="77"/>
  <c r="AE64" i="77"/>
  <c r="AE143" i="77"/>
  <c r="AE111" i="77"/>
  <c r="AE131" i="77"/>
  <c r="AE96" i="77"/>
  <c r="AE146" i="77"/>
  <c r="AE115" i="77"/>
  <c r="AE79" i="77"/>
  <c r="AE82" i="77"/>
  <c r="AE127" i="77"/>
  <c r="AE93" i="77"/>
  <c r="AH137" i="77"/>
  <c r="AH105" i="77"/>
  <c r="AH147" i="77"/>
  <c r="N72" i="77"/>
  <c r="N84" i="77"/>
  <c r="N79" i="77"/>
  <c r="AG126" i="77"/>
  <c r="AG92" i="77"/>
  <c r="AH117" i="77"/>
  <c r="AH81" i="77"/>
  <c r="AH127" i="77"/>
  <c r="AH93" i="77"/>
  <c r="AH149" i="77"/>
  <c r="AG151" i="77"/>
  <c r="AG121" i="77"/>
  <c r="AG103" i="77"/>
  <c r="AG142" i="77"/>
  <c r="AG110" i="77"/>
  <c r="AG118" i="77"/>
  <c r="AG66" i="77"/>
  <c r="AG145" i="77"/>
  <c r="AH77" i="77"/>
  <c r="AH146" i="77"/>
  <c r="AH138" i="77"/>
  <c r="AH106" i="77"/>
  <c r="O78" i="77"/>
  <c r="O81" i="77"/>
  <c r="O84" i="77"/>
  <c r="O83" i="77"/>
  <c r="AH151" i="77"/>
  <c r="O70" i="77"/>
  <c r="AG138" i="77"/>
  <c r="AG106" i="77"/>
  <c r="AG146" i="77"/>
  <c r="AG123" i="77"/>
  <c r="AG72" i="77"/>
  <c r="AG144" i="77"/>
  <c r="AG139" i="77"/>
  <c r="AG107" i="77"/>
  <c r="AG149" i="77"/>
  <c r="AG140" i="77"/>
  <c r="AG108" i="77"/>
  <c r="AH150" i="77"/>
  <c r="AH118" i="77"/>
  <c r="AH83" i="77"/>
  <c r="AH142" i="77"/>
  <c r="AH110" i="77"/>
  <c r="AH148" i="77"/>
  <c r="AH119" i="77"/>
  <c r="AH84" i="77"/>
  <c r="AH86" i="77"/>
  <c r="AH116" i="77"/>
  <c r="AH63" i="77"/>
  <c r="AH143" i="77"/>
  <c r="AH111" i="77"/>
  <c r="O105" i="77"/>
  <c r="O71" i="77"/>
  <c r="O82" i="77"/>
  <c r="O85" i="77"/>
  <c r="AG134" i="77"/>
  <c r="AG100" i="77"/>
  <c r="AG115" i="77"/>
  <c r="AG79" i="77"/>
  <c r="AG82" i="77"/>
  <c r="AG127" i="77"/>
  <c r="AG93" i="77"/>
  <c r="AG148" i="77"/>
  <c r="AG143" i="77"/>
  <c r="AG111" i="77"/>
  <c r="AG117" i="77"/>
  <c r="AG64" i="77"/>
  <c r="O104" i="77"/>
  <c r="AH152" i="77"/>
  <c r="AH120" i="77"/>
  <c r="AH85" i="77"/>
  <c r="AH144" i="77"/>
  <c r="AH141" i="77"/>
  <c r="AH155" i="77"/>
  <c r="AH121" i="77"/>
  <c r="AH103" i="77"/>
  <c r="AH125" i="77"/>
  <c r="AH74" i="77"/>
  <c r="O72" i="77"/>
  <c r="N103" i="77"/>
  <c r="N106" i="77"/>
  <c r="N104" i="77"/>
  <c r="P70" i="77"/>
  <c r="P72" i="77"/>
  <c r="P83" i="77"/>
  <c r="P104" i="77"/>
  <c r="P78" i="77"/>
  <c r="P81" i="77"/>
  <c r="P84" i="77"/>
  <c r="P106" i="77"/>
  <c r="P82" i="77"/>
  <c r="P85" i="77"/>
  <c r="AE81" i="77"/>
  <c r="AG122" i="77"/>
  <c r="AE68" i="77"/>
  <c r="AE85" i="77"/>
  <c r="AE91" i="77"/>
  <c r="AH75" i="77"/>
  <c r="AH92" i="77"/>
  <c r="AH124" i="77"/>
  <c r="AH153" i="77"/>
  <c r="AG76" i="77"/>
  <c r="AG154" i="77"/>
  <c r="AG153" i="77"/>
  <c r="AG131" i="77"/>
  <c r="AG96" i="77"/>
  <c r="AG133" i="77"/>
  <c r="AG99" i="77"/>
  <c r="AG102" i="77"/>
  <c r="AG155" i="77"/>
  <c r="AG75" i="77"/>
  <c r="AF148" i="77"/>
  <c r="AF146" i="77"/>
  <c r="AF144" i="77"/>
  <c r="AF142" i="77"/>
  <c r="AF110" i="77"/>
  <c r="AF137" i="77"/>
  <c r="AF105" i="77"/>
  <c r="AF118" i="77"/>
  <c r="AF77" i="77"/>
  <c r="AF140" i="77"/>
  <c r="AF108" i="77"/>
  <c r="AF126" i="77"/>
  <c r="AF120" i="77"/>
  <c r="AF117" i="77"/>
  <c r="AF127" i="77"/>
  <c r="AF121" i="77"/>
  <c r="AF103" i="77"/>
  <c r="AF115" i="77"/>
  <c r="AF143" i="77"/>
  <c r="AF111" i="77"/>
  <c r="AF138" i="77"/>
  <c r="AF106" i="77"/>
  <c r="AF125" i="77"/>
  <c r="AF141" i="77"/>
  <c r="AF109" i="77"/>
  <c r="AF119" i="77"/>
  <c r="AF149" i="77"/>
  <c r="AF139" i="77"/>
  <c r="AF107" i="77"/>
  <c r="AF116" i="77"/>
  <c r="AF147" i="77"/>
  <c r="AF151" i="77"/>
  <c r="AF145" i="77"/>
  <c r="AF150" i="77"/>
  <c r="AE80" i="77"/>
  <c r="AE63" i="77"/>
  <c r="AH123" i="77"/>
  <c r="AH64" i="77"/>
  <c r="AH122" i="77"/>
  <c r="AH62" i="77"/>
  <c r="AH65" i="77"/>
  <c r="AI125" i="77"/>
  <c r="AB57" i="77"/>
  <c r="AB58" i="77"/>
  <c r="AD149" i="77"/>
  <c r="AD147" i="77"/>
  <c r="AD145" i="77"/>
  <c r="AD143" i="77"/>
  <c r="AD111" i="77"/>
  <c r="AD139" i="77"/>
  <c r="AD107" i="77"/>
  <c r="AD125" i="77"/>
  <c r="AD116" i="77"/>
  <c r="AD138" i="77"/>
  <c r="AD106" i="77"/>
  <c r="AD127" i="77"/>
  <c r="AD121" i="77"/>
  <c r="AD103" i="77"/>
  <c r="AD119" i="77"/>
  <c r="AD115" i="77"/>
  <c r="AD77" i="77"/>
  <c r="AD126" i="77"/>
  <c r="AD120" i="77"/>
  <c r="AD117" i="77"/>
  <c r="AD150" i="77"/>
  <c r="AD148" i="77"/>
  <c r="AD140" i="77"/>
  <c r="AD108" i="77"/>
  <c r="AD146" i="77"/>
  <c r="AD144" i="77"/>
  <c r="AD137" i="77"/>
  <c r="AD105" i="77"/>
  <c r="AD142" i="77"/>
  <c r="AD110" i="77"/>
  <c r="AD141" i="77"/>
  <c r="AD109" i="77"/>
  <c r="AD118" i="77"/>
  <c r="AD151" i="77"/>
  <c r="AG124" i="77"/>
  <c r="AG132" i="77"/>
  <c r="AG97" i="77"/>
  <c r="AG152" i="77"/>
  <c r="AG135" i="77"/>
  <c r="AG101" i="77"/>
  <c r="AG130" i="77"/>
  <c r="AG95" i="77"/>
  <c r="AG98" i="77"/>
  <c r="AE92" i="77"/>
  <c r="AE75" i="77"/>
  <c r="AE135" i="77"/>
  <c r="AE101" i="77"/>
  <c r="AE83" i="77"/>
  <c r="AE66" i="77"/>
  <c r="AE84" i="77"/>
  <c r="AE86" i="77"/>
  <c r="AE132" i="77"/>
  <c r="AE97" i="77"/>
  <c r="AH66" i="77"/>
  <c r="AH132" i="77"/>
  <c r="AH97" i="77"/>
  <c r="AH154" i="77"/>
  <c r="H73" i="77"/>
  <c r="H70" i="77"/>
  <c r="L61" i="77"/>
  <c r="L62" i="77"/>
  <c r="L69" i="77"/>
  <c r="L86" i="77"/>
  <c r="L97" i="77"/>
  <c r="Q76" i="77"/>
  <c r="L73" i="77"/>
  <c r="L98" i="77"/>
  <c r="L65" i="77"/>
  <c r="L66" i="77"/>
  <c r="L91" i="77"/>
  <c r="L88" i="77"/>
  <c r="L90" i="77"/>
  <c r="L95" i="77"/>
  <c r="L102" i="77"/>
  <c r="AE76" i="77"/>
  <c r="AG68" i="77"/>
  <c r="AH80" i="77"/>
  <c r="AE62" i="77"/>
  <c r="AE65" i="77"/>
  <c r="AG63" i="77"/>
  <c r="AE72" i="77"/>
  <c r="AE109" i="77"/>
  <c r="AE153" i="77"/>
  <c r="AE130" i="77"/>
  <c r="AE95" i="77"/>
  <c r="AE98" i="77"/>
  <c r="AE155" i="77"/>
  <c r="AE122" i="77"/>
  <c r="AE124" i="77"/>
  <c r="AE152" i="77"/>
  <c r="AE133" i="77"/>
  <c r="AE99" i="77"/>
  <c r="AE102" i="77"/>
  <c r="AG84" i="77"/>
  <c r="AG86" i="77"/>
  <c r="AG91" i="77"/>
  <c r="AE134" i="77"/>
  <c r="AE100" i="77"/>
  <c r="AE154" i="77"/>
  <c r="AH134" i="77"/>
  <c r="AH100" i="77"/>
  <c r="AH67" i="77"/>
  <c r="AH69" i="77"/>
  <c r="AF154" i="77"/>
  <c r="AF155" i="77"/>
  <c r="AF133" i="77"/>
  <c r="AF99" i="77"/>
  <c r="AF102" i="77"/>
  <c r="AH76" i="77"/>
  <c r="AH68" i="77"/>
  <c r="AF131" i="77"/>
  <c r="AF96" i="77"/>
  <c r="AG83" i="77"/>
  <c r="AI128" i="77"/>
  <c r="AI118" i="77"/>
  <c r="AI141" i="77"/>
  <c r="AG81" i="77"/>
  <c r="AG62" i="77"/>
  <c r="AG65" i="77"/>
  <c r="AG89" i="77"/>
  <c r="L74" i="77"/>
  <c r="AH91" i="77"/>
  <c r="AH109" i="77"/>
  <c r="AH133" i="77"/>
  <c r="AH99" i="77"/>
  <c r="AH102" i="77"/>
  <c r="AH131" i="77"/>
  <c r="AH96" i="77"/>
  <c r="AH130" i="77"/>
  <c r="AH95" i="77"/>
  <c r="AH98" i="77"/>
  <c r="AH135" i="77"/>
  <c r="AH101" i="77"/>
  <c r="AI77" i="77"/>
  <c r="AD124" i="77"/>
  <c r="AH71" i="77"/>
  <c r="AH88" i="77"/>
  <c r="AH89" i="77"/>
  <c r="AH72" i="77"/>
  <c r="AF85" i="77"/>
  <c r="AF68" i="77"/>
  <c r="AH87" i="77"/>
  <c r="AH70" i="77"/>
  <c r="AG90" i="77"/>
  <c r="AG73" i="77"/>
  <c r="AD122" i="77"/>
  <c r="AD85" i="77"/>
  <c r="AD68" i="77"/>
  <c r="AD79" i="77"/>
  <c r="AD82" i="77"/>
  <c r="AD62" i="77"/>
  <c r="AD65" i="77"/>
  <c r="AD93" i="77"/>
  <c r="AD76" i="77"/>
  <c r="AD63" i="77"/>
  <c r="AD80" i="77"/>
  <c r="AI91" i="77"/>
  <c r="AI74" i="77"/>
  <c r="AF80" i="77"/>
  <c r="AF63" i="77"/>
  <c r="AF67" i="77"/>
  <c r="AF69" i="77"/>
  <c r="AF84" i="77"/>
  <c r="AF86" i="77"/>
  <c r="AF135" i="77"/>
  <c r="AF101" i="77"/>
  <c r="AF79" i="77"/>
  <c r="AF82" i="77"/>
  <c r="AF62" i="77"/>
  <c r="AF65" i="77"/>
  <c r="AF132" i="77"/>
  <c r="AF97" i="77"/>
  <c r="AF122" i="77"/>
  <c r="AF134" i="77"/>
  <c r="AF100" i="77"/>
  <c r="AH73" i="77"/>
  <c r="AH90" i="77"/>
  <c r="AD64" i="77"/>
  <c r="AD81" i="77"/>
  <c r="AD153" i="77"/>
  <c r="AD135" i="77"/>
  <c r="AD101" i="77"/>
  <c r="AF76" i="77"/>
  <c r="AF93" i="77"/>
  <c r="AE87" i="77"/>
  <c r="AE70" i="77"/>
  <c r="AD134" i="77"/>
  <c r="AD100" i="77"/>
  <c r="AD130" i="77"/>
  <c r="AD95" i="77"/>
  <c r="AD98" i="77"/>
  <c r="AD123" i="77"/>
  <c r="AI150" i="77"/>
  <c r="AI137" i="77"/>
  <c r="AD75" i="77"/>
  <c r="AD92" i="77"/>
  <c r="AD84" i="77"/>
  <c r="AD86" i="77"/>
  <c r="AD67" i="77"/>
  <c r="AD69" i="77"/>
  <c r="AD132" i="77"/>
  <c r="AD97" i="77"/>
  <c r="AD74" i="77"/>
  <c r="AD91" i="77"/>
  <c r="AD154" i="77"/>
  <c r="AF153" i="77"/>
  <c r="AF75" i="77"/>
  <c r="AF92" i="77"/>
  <c r="AF66" i="77"/>
  <c r="AF83" i="77"/>
  <c r="AD66" i="77"/>
  <c r="AD83" i="77"/>
  <c r="AD131" i="77"/>
  <c r="AD96" i="77"/>
  <c r="AD152" i="77"/>
  <c r="AD155" i="77"/>
  <c r="AD133" i="77"/>
  <c r="AD99" i="77"/>
  <c r="AD102" i="77"/>
  <c r="AF91" i="77"/>
  <c r="AF74" i="77"/>
  <c r="AF124" i="77"/>
  <c r="AF81" i="77"/>
  <c r="AF64" i="77"/>
  <c r="AF130" i="77"/>
  <c r="AF95" i="77"/>
  <c r="AF98" i="77"/>
  <c r="AF123" i="77"/>
  <c r="AF152" i="77"/>
  <c r="AG88" i="77"/>
  <c r="AG71" i="77"/>
  <c r="AG87" i="77"/>
  <c r="AG70" i="77"/>
  <c r="L67" i="77"/>
  <c r="H67" i="77"/>
  <c r="L63" i="77"/>
  <c r="L64" i="77"/>
  <c r="L75" i="77"/>
  <c r="H66" i="77"/>
  <c r="H65" i="77"/>
  <c r="Q65" i="77"/>
  <c r="L92" i="77"/>
  <c r="L101" i="77"/>
  <c r="Q101" i="77"/>
  <c r="Q88" i="77"/>
  <c r="L89" i="77"/>
  <c r="Q95" i="77"/>
  <c r="Q98" i="77"/>
  <c r="Q97" i="77"/>
  <c r="Q74" i="77"/>
  <c r="Q69" i="77"/>
  <c r="Q86" i="77"/>
  <c r="AI149" i="77"/>
  <c r="AE90" i="77"/>
  <c r="AE73" i="77"/>
  <c r="AI144" i="77"/>
  <c r="AE88" i="77"/>
  <c r="AE71" i="77"/>
  <c r="AI109" i="77"/>
  <c r="AI152" i="77"/>
  <c r="AI121" i="77"/>
  <c r="AI103" i="77"/>
  <c r="AI135" i="77"/>
  <c r="AI101" i="77"/>
  <c r="AI126" i="77"/>
  <c r="AI105" i="77"/>
  <c r="AI146" i="77"/>
  <c r="AI127" i="77"/>
  <c r="AI76" i="77"/>
  <c r="AI147" i="77"/>
  <c r="AI133" i="77"/>
  <c r="AI99" i="77"/>
  <c r="AI102" i="77"/>
  <c r="AI134" i="77"/>
  <c r="AI100" i="77"/>
  <c r="AI148" i="77"/>
  <c r="AI143" i="77"/>
  <c r="AI111" i="77"/>
  <c r="AI52" i="77"/>
  <c r="AI145" i="77"/>
  <c r="AI142" i="77"/>
  <c r="AI110" i="77"/>
  <c r="AI155" i="77"/>
  <c r="AD90" i="77"/>
  <c r="AD73" i="77"/>
  <c r="AI83" i="77"/>
  <c r="AI85" i="77"/>
  <c r="AI67" i="77"/>
  <c r="AI69" i="77"/>
  <c r="AI68" i="77"/>
  <c r="AI66" i="77"/>
  <c r="AI84" i="77"/>
  <c r="AI86" i="77"/>
  <c r="AI56" i="77"/>
  <c r="AI58" i="77"/>
  <c r="AF89" i="77"/>
  <c r="AF72" i="77"/>
  <c r="AF90" i="77"/>
  <c r="AF73" i="77"/>
  <c r="AD70" i="77"/>
  <c r="AD87" i="77"/>
  <c r="AD88" i="77"/>
  <c r="AD71" i="77"/>
  <c r="AI154" i="77"/>
  <c r="AI123" i="77"/>
  <c r="AI124" i="77"/>
  <c r="AI120" i="77"/>
  <c r="AI119" i="77"/>
  <c r="AF88" i="77"/>
  <c r="AF71" i="77"/>
  <c r="AI153" i="77"/>
  <c r="AI122" i="77"/>
  <c r="AI92" i="77"/>
  <c r="AI75" i="77"/>
  <c r="AD89" i="77"/>
  <c r="AD72" i="77"/>
  <c r="AF70" i="77"/>
  <c r="AF87" i="77"/>
  <c r="L68" i="77"/>
  <c r="Q92" i="77"/>
  <c r="Q67" i="77"/>
  <c r="Q84" i="77"/>
  <c r="Q66" i="77"/>
  <c r="Q82" i="77"/>
  <c r="Q75" i="77"/>
  <c r="L96" i="77"/>
  <c r="L79" i="77"/>
  <c r="L103" i="77"/>
  <c r="L104" i="77"/>
  <c r="L83" i="77"/>
  <c r="L82" i="77"/>
  <c r="L84" i="77"/>
  <c r="L80" i="77"/>
  <c r="L78" i="77"/>
  <c r="AI93" i="77"/>
  <c r="AI72" i="77"/>
  <c r="AI89" i="77"/>
  <c r="AI88" i="77"/>
  <c r="AI71" i="77"/>
  <c r="AI87" i="77"/>
  <c r="AI70" i="77"/>
  <c r="AI73" i="77"/>
  <c r="AI90" i="77"/>
  <c r="L81" i="77"/>
  <c r="L85" i="77"/>
  <c r="Q68" i="77"/>
  <c r="Q83" i="77"/>
  <c r="Q85" i="77"/>
  <c r="L70" i="77"/>
  <c r="L106" i="77"/>
  <c r="L72" i="77"/>
  <c r="L105" i="77"/>
  <c r="L71" i="77"/>
  <c r="L99" i="77"/>
  <c r="L93" i="77"/>
  <c r="L100" i="77"/>
  <c r="L94" i="77"/>
  <c r="Q71" i="77"/>
  <c r="Q72" i="77"/>
  <c r="Q103" i="77"/>
  <c r="Q96" i="77"/>
  <c r="Q70" i="77"/>
  <c r="Q106" i="77"/>
  <c r="Q105" i="77"/>
  <c r="Q104" i="77"/>
  <c r="Q99" i="77"/>
  <c r="Q93" i="77"/>
  <c r="Q100" i="77"/>
  <c r="Q94" i="7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Reviewer</author>
    <author>Will Hopkins</author>
  </authors>
  <commentList>
    <comment ref="C2" authorId="0" shapeId="0" xr:uid="{FC59E6BE-1D3B-594A-A08E-7089E191B0EA}">
      <text>
        <r>
          <rPr>
            <sz val="8"/>
            <color indexed="81"/>
            <rFont val="Tahoma"/>
            <family val="2"/>
          </rPr>
          <t xml:space="preserve">
Hopkins WG (2015). Spreadsheets for analysis of validity and reliability. Sportscience 19, 36-42 (sportsci.org/2015/ValidRely.htm)</t>
        </r>
      </text>
    </comment>
    <comment ref="D3" authorId="1" shapeId="0" xr:uid="{76DC27D7-74AE-F442-BD1E-653C991EE6E2}">
      <text>
        <r>
          <rPr>
            <sz val="8"/>
            <color indexed="81"/>
            <rFont val="Tahoma"/>
            <family val="2"/>
          </rPr>
          <t>Oct. Added smallest important effect (difference or change in the variable) derived by standardization..
July. Added mean values for Pearson correlation.
June: Changed instructions for dealing with missing data.  Added more advice about when and when not to use log transformation.</t>
        </r>
      </text>
    </comment>
    <comment ref="E3" authorId="0" shapeId="0" xr:uid="{7A26C79D-90A2-ED4E-9861-672656386834}">
      <text>
        <r>
          <rPr>
            <sz val="8"/>
            <color indexed="81"/>
            <rFont val="Tahoma"/>
            <family val="2"/>
          </rPr>
          <t>May: Changed the SD for standardizing back to the "pure" SD rather than the observed SD, but included code to show standardized values only if the ICC is positive. A negative ICC implies no real differences between subjects, either because that is the true state of affairs or because sampling variation makes it seem so; hence standardized values for typical error and changes in the mean are effectively infinite.  
Added comments that the typical error should be doubled to interpret its magnitude, according to Smith TB, Hopkins WG (2011). Variability and predictability of finals times of elite rowers. Medicine and Science in Sports and Exercise 43, 2155-2160
March: Provided user-friendly estimates of mean and SD of change scores.</t>
        </r>
      </text>
    </comment>
    <comment ref="F3" authorId="0" shapeId="0" xr:uid="{804A783A-F612-9D4E-89AA-784C582E15EB}">
      <text>
        <r>
          <rPr>
            <sz val="8"/>
            <color indexed="81"/>
            <rFont val="Tahoma"/>
            <family val="2"/>
          </rPr>
          <t>Removed  error of measurement from the formulae for standardizing. I will address this issue in the forthcoming article.
Replaced unbiased estimates with the usual biased estimates, and included instead the correction factors.</t>
        </r>
      </text>
    </comment>
    <comment ref="G3" authorId="0" shapeId="0" xr:uid="{2CC51AFB-634D-5640-A5F6-EB5D1E81C33B}">
      <text>
        <r>
          <rPr>
            <sz val="8"/>
            <color indexed="81"/>
            <rFont val="Tahoma"/>
            <family val="2"/>
          </rPr>
          <t>Standardized changes in mean and typical error, instructions about factor effects, better estimates of intraclass correlation coefficients and their confidence limits.</t>
        </r>
      </text>
    </comment>
    <comment ref="C26" authorId="1" shapeId="0" xr:uid="{62E01E81-8B96-8A4A-A6A1-730668D5F307}">
      <text>
        <r>
          <rPr>
            <sz val="8"/>
            <color indexed="81"/>
            <rFont val="Tahoma"/>
            <family val="2"/>
          </rPr>
          <t>This number generates smallest or other important magnitude thresholds for differences or changes when it is appropriate to define such thresholds by standardization.  The default is 0.2, for the smallest important effect. Insert 0.6, 1.2, 2.0, or 4.0 to get thresholds for moderate, large, very large and extremely large changes.  
The pure and observed between-subject SD are multiplied by this value. Use the threshold derived from the pure between-subject SD in most settings.  The threshold from the observed SD is appropriate only for performance indicators derived for team-sport players from games or matches. However, in the absence of a reliability study, researchers inevitably use the observed SD from the reference group or baseline test.</t>
        </r>
      </text>
    </comment>
    <comment ref="H27" authorId="0" shapeId="0" xr:uid="{D5DE48E6-AFE5-5A49-8F10-6D3149AA081F}">
      <text>
        <r>
          <rPr>
            <sz val="8"/>
            <color indexed="81"/>
            <rFont val="Tahoma"/>
            <family val="2"/>
          </rPr>
          <t>For &gt;6 trials, copy and insert this entire column and/or the next column. Then label with 5, 6, 7 and so on.  Repeat for the log-transformed data, if your data require logs.</t>
        </r>
      </text>
    </comment>
    <comment ref="I27" authorId="0" shapeId="0" xr:uid="{DD9AA244-4C01-BC45-907F-1CD5E3614D7D}">
      <text>
        <r>
          <rPr>
            <sz val="8"/>
            <color indexed="81"/>
            <rFont val="Tahoma"/>
            <family val="2"/>
          </rPr>
          <t>For &gt;6 trials, copy and insert this entire column and/or the previous column. then label with 5, 6, 7 and so on.  Repeat for the log-transformed data, if your data require logs.</t>
        </r>
      </text>
    </comment>
    <comment ref="N27" authorId="0" shapeId="0" xr:uid="{10B4F67D-7D68-3E4B-B181-2DB35772EF6B}">
      <text>
        <r>
          <rPr>
            <sz val="8"/>
            <color indexed="81"/>
            <rFont val="Tahoma"/>
            <family val="2"/>
          </rPr>
          <t>Once you have inserted the extra raw-data and change-score columns, select this entire column, then drag-copy it across all the change columns to the right.  Do not drag it beyond the change coumns. Repeat for the log-transformed data, if your data require logs.</t>
        </r>
      </text>
    </comment>
    <comment ref="O27" authorId="0" shapeId="0" xr:uid="{AFC878AE-E0C0-0144-9E9D-F52D98F0DE18}">
      <text>
        <r>
          <rPr>
            <sz val="8"/>
            <color indexed="81"/>
            <rFont val="Tahoma"/>
            <family val="2"/>
          </rPr>
          <t>For &gt;6 trials, copy and insert this entire column and/or the next column.  Repeat for the log-transformed data, if your data require logs.</t>
        </r>
      </text>
    </comment>
    <comment ref="P27" authorId="0" shapeId="0" xr:uid="{E6F8A47D-51E3-E540-BD6E-D9BC896674C8}">
      <text>
        <r>
          <rPr>
            <sz val="8"/>
            <color indexed="81"/>
            <rFont val="Tahoma"/>
            <family val="2"/>
          </rPr>
          <t>For &gt;6 trials, copy and insert this entire column and/or the previous column. Repeat for the log-transformed data, if your data require logs.</t>
        </r>
      </text>
    </comment>
    <comment ref="Y27" authorId="0" shapeId="0" xr:uid="{ECA9E3AB-A625-B04B-A3EE-06667068DA81}">
      <text>
        <r>
          <rPr>
            <sz val="8"/>
            <color indexed="81"/>
            <rFont val="Tahoma"/>
            <family val="2"/>
          </rPr>
          <t>Once you have inserted the extra columns, select this entire column, then drag-copy it across all the columns to the right.  Do not drag it into the Mean column.</t>
        </r>
      </text>
    </comment>
    <comment ref="Z27" authorId="0" shapeId="0" xr:uid="{0957CB32-8426-F141-966E-A4494749CB02}">
      <text>
        <r>
          <rPr>
            <sz val="8"/>
            <color indexed="81"/>
            <rFont val="Tahoma"/>
            <family val="2"/>
          </rPr>
          <t>Copy and insert this entire column and/or the next column for &gt;6 trials. You will need to have done this operation with the columns for raw data first.</t>
        </r>
      </text>
    </comment>
    <comment ref="AA27" authorId="0" shapeId="0" xr:uid="{ECEDA827-DDF7-F94A-AF58-E1DFA0EEC61C}">
      <text>
        <r>
          <rPr>
            <sz val="8"/>
            <color indexed="81"/>
            <rFont val="Tahoma"/>
            <family val="2"/>
          </rPr>
          <t>Copy and insert this entire column and/or the previous column for &gt;6 trials. You will need to have done this operation with the columns for raw data first.</t>
        </r>
      </text>
    </comment>
    <comment ref="AF27" authorId="0" shapeId="0" xr:uid="{E35F49A2-01E6-0F47-955B-F9B455D37BBE}">
      <text>
        <r>
          <rPr>
            <sz val="8"/>
            <color indexed="81"/>
            <rFont val="Tahoma"/>
            <family val="2"/>
          </rPr>
          <t>Once you have inserted the extra log-data and change-score columns, select this entire column, then drag-copy it across all the change columns to the right.  Do not drag it beyond the change coumns. You will need to have done this operation for the columns with raw data first.</t>
        </r>
      </text>
    </comment>
    <comment ref="AG27" authorId="0" shapeId="0" xr:uid="{AD5350EC-50BD-0B43-B90B-724E7853DA57}">
      <text>
        <r>
          <rPr>
            <sz val="8"/>
            <color indexed="81"/>
            <rFont val="Tahoma"/>
            <family val="2"/>
          </rPr>
          <t>For &gt;6 trials, copy and insert this entire column and/or the next column. You will need to have done this operation with the columns for raw data first.</t>
        </r>
      </text>
    </comment>
    <comment ref="AH27" authorId="0" shapeId="0" xr:uid="{E0762A63-CC59-3744-907A-5EAAFA656629}">
      <text>
        <r>
          <rPr>
            <sz val="8"/>
            <color indexed="81"/>
            <rFont val="Tahoma"/>
            <family val="2"/>
          </rPr>
          <t>For &gt;6 trials, copy and insert this entire column and/or the previous column.  You will need to have done this operation with the columns for raw data first.</t>
        </r>
      </text>
    </comment>
    <comment ref="J53" authorId="0" shapeId="0" xr:uid="{78918FA1-DA9D-1849-BDC1-C7EA184E7AA9}">
      <text>
        <r>
          <rPr>
            <sz val="8"/>
            <color rgb="FF000000"/>
            <rFont val="Tahoma"/>
            <family val="2"/>
          </rPr>
          <t>Total number of different subjects contributing to the mean, not the mean number of subjects.</t>
        </r>
      </text>
    </comment>
    <comment ref="Q53" authorId="0" shapeId="0" xr:uid="{446B28CF-8DA9-7743-A139-2699FE7DBF86}">
      <text>
        <r>
          <rPr>
            <sz val="8"/>
            <color rgb="FF000000"/>
            <rFont val="Tahoma"/>
            <family val="2"/>
          </rPr>
          <t>Total number of different subjects contributing to the mean, not the mean number of subjects.</t>
        </r>
      </text>
    </comment>
    <comment ref="C54" authorId="0" shapeId="0" xr:uid="{0A79DD1D-7264-3B44-988C-EB87632EA8CF}">
      <text>
        <r>
          <rPr>
            <sz val="8"/>
            <color indexed="81"/>
            <rFont val="Tahoma"/>
            <family val="2"/>
          </rPr>
          <t>Set to blank or 0 to omit from the calculations.  Set to anything else to include.</t>
        </r>
      </text>
    </comment>
    <comment ref="U54" authorId="0" shapeId="0" xr:uid="{ADE612CC-0408-714F-8CCD-5FA8E8597B4C}">
      <text>
        <r>
          <rPr>
            <sz val="8"/>
            <color indexed="81"/>
            <rFont val="Tahoma"/>
            <family val="2"/>
          </rPr>
          <t>Set to blank or 0 to omit from the calculations.  Set to anything else to include.  You can do it here or in the corresponding cells underneath the raw data.</t>
        </r>
      </text>
    </comment>
    <comment ref="AC55" authorId="0" shapeId="0" xr:uid="{AC42C482-1E65-A647-8441-E2775382DA12}">
      <text>
        <r>
          <rPr>
            <sz val="8"/>
            <color indexed="81"/>
            <rFont val="Tahoma"/>
            <family val="2"/>
          </rPr>
          <t>Use when factor change exceeds ~1.5.</t>
        </r>
      </text>
    </comment>
    <comment ref="AC56" authorId="0" shapeId="0" xr:uid="{DFAEFC5C-ECC5-104F-B3A2-5ACB4E698272}">
      <text>
        <r>
          <rPr>
            <sz val="8"/>
            <color indexed="81"/>
            <rFont val="Tahoma"/>
            <family val="2"/>
          </rPr>
          <t>Use when SD as factor exceeds ~1.5.</t>
        </r>
      </text>
    </comment>
    <comment ref="U57" authorId="0" shapeId="0" xr:uid="{71DF699F-41C8-BC4F-9FC9-663B326DFBFC}">
      <text>
        <r>
          <rPr>
            <sz val="9"/>
            <color indexed="81"/>
            <rFont val="Tahoma"/>
            <family val="2"/>
          </rPr>
          <t>Use when SD exceeds ~50%.</t>
        </r>
      </text>
    </comment>
    <comment ref="AC57" authorId="0" shapeId="0" xr:uid="{9AD2DFBE-D4D7-F940-81CF-8295E9FB0C7E}">
      <text>
        <r>
          <rPr>
            <sz val="8"/>
            <color indexed="81"/>
            <rFont val="Tahoma"/>
            <family val="2"/>
          </rPr>
          <t>Use when change is less than ~50%.</t>
        </r>
      </text>
    </comment>
    <comment ref="U58" authorId="0" shapeId="0" xr:uid="{56ED96CC-3315-2E4B-B735-5C55F785B80C}">
      <text>
        <r>
          <rPr>
            <sz val="9"/>
            <color indexed="81"/>
            <rFont val="Tahoma"/>
            <family val="2"/>
          </rPr>
          <t>Use when SD is less than ~50%.</t>
        </r>
      </text>
    </comment>
    <comment ref="AC58" authorId="0" shapeId="0" xr:uid="{72F97097-1D48-5142-9931-A17488AE9851}">
      <text>
        <r>
          <rPr>
            <sz val="9"/>
            <color indexed="81"/>
            <rFont val="Tahoma"/>
            <family val="2"/>
          </rPr>
          <t>Use when SD is less than ~50%.</t>
        </r>
      </text>
    </comment>
    <comment ref="AB59" authorId="0" shapeId="0" xr:uid="{BE3E599A-1DCB-2942-94A5-0E41D152DAE8}">
      <text>
        <r>
          <rPr>
            <sz val="8"/>
            <color indexed="81"/>
            <rFont val="Tahoma"/>
            <family val="2"/>
          </rPr>
          <t xml:space="preserve">Total number of different subjects contributing to the mean, not the mean number of subjects.
</t>
        </r>
      </text>
    </comment>
    <comment ref="AI59" authorId="0" shapeId="0" xr:uid="{FDC48CC5-3CCB-9341-ACCF-90D333613224}">
      <text>
        <r>
          <rPr>
            <sz val="8"/>
            <color indexed="81"/>
            <rFont val="Tahoma"/>
            <family val="2"/>
          </rPr>
          <t>Total number of different subjects contributing to the mean, not the mean number of subjects.</t>
        </r>
      </text>
    </comment>
    <comment ref="AB61" authorId="0" shapeId="0" xr:uid="{1AB35D7D-8C32-8F43-87CB-423F43A15BA1}">
      <text>
        <r>
          <rPr>
            <sz val="8"/>
            <color indexed="81"/>
            <rFont val="Tahoma"/>
            <family val="2"/>
          </rPr>
          <t>Use when</t>
        </r>
        <r>
          <rPr>
            <sz val="8"/>
            <color indexed="81"/>
            <rFont val="Tahoma"/>
            <family val="2"/>
          </rPr>
          <t xml:space="preserve"> changes in mean and errors </t>
        </r>
        <r>
          <rPr>
            <sz val="8"/>
            <color indexed="81"/>
            <rFont val="Tahoma"/>
            <family val="2"/>
          </rPr>
          <t>exceed ~50%.</t>
        </r>
      </text>
    </comment>
    <comment ref="K65" authorId="0" shapeId="0" xr:uid="{617F92E3-87D5-E245-8913-F7EE382A257E}">
      <text>
        <r>
          <rPr>
            <sz val="8"/>
            <color indexed="81"/>
            <rFont val="Tahoma"/>
            <family val="2"/>
          </rPr>
          <t>You should double the typical error before you interpret its magnitude, according to Smith TB, Hopkins WG (2011). Variability and predictability of finals times of elite rowers. Medicine and Science in Sports and Exercise 43, 2155-2160.</t>
        </r>
      </text>
    </comment>
    <comment ref="AC66" authorId="0" shapeId="0" xr:uid="{700F4ED9-7E78-1844-8A7B-988798ED7E02}">
      <text>
        <r>
          <rPr>
            <sz val="8"/>
            <color indexed="81"/>
            <rFont val="Tahoma"/>
            <family val="2"/>
          </rPr>
          <t>You should double the typical error (here, square it) before you interpret its magnitude, according to Smith TB, Hopkins WG (2011). Variability and predictability of finals times of elite rowers. Medicine and Science in Sports and Exercise 43, 2155-2160.</t>
        </r>
      </text>
    </comment>
    <comment ref="K69" authorId="0" shapeId="0" xr:uid="{3C18D1B4-A068-FD4B-BF87-EE4115AF816C}">
      <text>
        <r>
          <rPr>
            <sz val="9"/>
            <color indexed="81"/>
            <rFont val="Tahoma"/>
            <family val="2"/>
          </rPr>
          <t>The standard deviation derived from a small sample is biased slightly low.  The correction factor used here comes from Gurland and Tripathi (1971).  It's probably better not to use this factor, because it is practically negligible for sample sizes of ~10 or more, and any statistical manipulations involving the SD should be done with the uncorrected SD or the variance (the square of the SD, which is not biased).
Gurland J, Tripathi RC (1971). A simple approximation for unbiased estimation of the standard deviation. American Statistician 25(4), 30-32</t>
        </r>
      </text>
    </comment>
    <comment ref="AC70" authorId="0" shapeId="0" xr:uid="{50EDD526-AD19-0948-86ED-03ACC2D323C9}">
      <text>
        <r>
          <rPr>
            <sz val="9"/>
            <color indexed="81"/>
            <rFont val="Tahoma"/>
            <family val="2"/>
          </rPr>
          <t>The standard deviation derived from a small sample is biased slightly low.  The correction factor used here comes from Gurland and Tripathi (1971).  It's probably better not to use this factor, because it is practically negligible for sample sizes of ~10 or more, and any statistical manipulations involving the SD should be done with the uncorrected SD or the variance (the square of the SD, which is not biased).
Gurland J, Tripathi RC (1971). A simple approximation for unbiased estimation of the standard deviation. American Statistician 25(4), 30-32</t>
        </r>
      </text>
    </comment>
    <comment ref="Q76" authorId="0" shapeId="0" xr:uid="{7D19F78C-E61F-2242-BF47-F2E8F57CCEFF}">
      <text>
        <r>
          <rPr>
            <sz val="8"/>
            <color indexed="81"/>
            <rFont val="Tahoma"/>
            <family val="2"/>
          </rPr>
          <t>Adjusted for interdependence of consecutive statistics and for missing values.</t>
        </r>
      </text>
    </comment>
    <comment ref="J77" authorId="0" shapeId="0" xr:uid="{025BB3E6-80CA-964A-A343-22329BB398CC}">
      <text>
        <r>
          <rPr>
            <sz val="8"/>
            <color indexed="81"/>
            <rFont val="Tahoma"/>
            <family val="2"/>
          </rPr>
          <t>The above change in mean, typical error and confidence limits are all divided by the "pure" between-subject SD (=sqrt(SD^2</t>
        </r>
        <r>
          <rPr>
            <sz val="8"/>
            <color indexed="81"/>
            <rFont val="Symbol"/>
            <family val="1"/>
            <charset val="2"/>
          </rPr>
          <t>-</t>
        </r>
        <r>
          <rPr>
            <sz val="8"/>
            <color indexed="81"/>
            <rFont val="Tahoma"/>
            <family val="2"/>
          </rPr>
          <t>sd^2), where SD is the mean SD for the trials included in the analysis (derived by averaging the variances, weighted by the degrees of freedom) and sd is the typical error. 
If the ICC is zero or negative, the standardized values are not calculated, because the pure SD is effectively zero.
I have not corrected the standardized values for the small amount of upward bias that arises from downware bias in the between-subject SD.  The correction factor for standardized effects is 1-3/(4*v-1), where v is the degrees of freedom for the SD.  Becker BJ (1988). Synthesizing standardized mean-change measures. British Journal of Mathematical and Statistical Psychology 41, 257-278.</t>
        </r>
      </text>
    </comment>
    <comment ref="AI77" authorId="0" shapeId="0" xr:uid="{E2288549-49EC-F742-AAD8-76A8BAF4F23E}">
      <text>
        <r>
          <rPr>
            <sz val="8"/>
            <color indexed="81"/>
            <rFont val="Tahoma"/>
            <family val="2"/>
          </rPr>
          <t>Adjusted for interdependence of consecutive statistics and for missing values.</t>
        </r>
      </text>
    </comment>
    <comment ref="K78" authorId="0" shapeId="0" xr:uid="{67799190-36F5-0643-831C-E09940F9F0DE}">
      <text>
        <r>
          <rPr>
            <sz val="8"/>
            <color indexed="81"/>
            <rFont val="Tahoma"/>
            <family val="2"/>
          </rPr>
          <t xml:space="preserve">Thresholds for interpretation of the change in the mean are 0.2, 0.6, 1.2, 2.0, 4.0 for small, moderate, large, very large and extremely large. </t>
        </r>
      </text>
    </comment>
    <comment ref="AB78" authorId="0" shapeId="0" xr:uid="{56F52018-B23A-8A41-89A3-158E65B1C630}">
      <text>
        <r>
          <rPr>
            <sz val="8"/>
            <color indexed="81"/>
            <rFont val="Tahoma"/>
            <family val="2"/>
          </rPr>
          <t>Use when changes in mean and errors are less than ~50%.</t>
        </r>
      </text>
    </comment>
    <comment ref="K82" authorId="0" shapeId="0" xr:uid="{1FA612BB-2837-4144-B055-64D0B046C0EC}">
      <text>
        <r>
          <rPr>
            <sz val="8"/>
            <color indexed="81"/>
            <rFont val="Tahoma"/>
            <family val="2"/>
          </rPr>
          <t>The standardized typical error should be doubled to interpret its magnitude using the thresholds for interpretation of the change in the mean (0.2, 0.6, 1.2, 2.0, 4.0 for small, moderate, large, very large and extremely large. Reason: SDs need to be doubled before you interpret their magnitudes, according to Smith TB, Hopkins WG (2011). Variability and predictability of finals times of elite rowers. Medicine and Science in Sports and Exercise 43, 2155-2160.</t>
        </r>
      </text>
    </comment>
    <comment ref="AC83" authorId="0" shapeId="0" xr:uid="{8083C362-646E-3049-BD1B-F40F42BC1027}">
      <text>
        <r>
          <rPr>
            <sz val="8"/>
            <color indexed="81"/>
            <rFont val="Tahoma"/>
            <family val="2"/>
          </rPr>
          <t>You should double the typical error before you interpret its magnitude, according to Smith TB, Hopkins WG (2011). Variability and predictability of finals times of elite rowers. Medicine and Science in Sports and Exercise 43, 2155-2160. For percent errors &gt;20%, it's not a simple matter of doubling.  Instead, consider the factor typical error, which you have to square.</t>
        </r>
      </text>
    </comment>
    <comment ref="K86" authorId="0" shapeId="0" xr:uid="{8444DBA1-7AD3-E84A-81B5-04745D402B8A}">
      <text>
        <r>
          <rPr>
            <sz val="9"/>
            <color indexed="81"/>
            <rFont val="Tahoma"/>
            <family val="2"/>
          </rPr>
          <t>The standard deviation derived from a small sample is biased slightly low.  The correction factor used here comes from Gurland and Tripathi (1971).  It's probably better not to use this factor, because it is practically negligible for sample sizes of ~10 or more, and any statistical manipulations involving the SD should be done with the uncorrected SD or the variance (the square of the SD, which is not biased).
Gurland J, Tripathi RC (1971). A simple approximation for unbiased estimation of the standard deviation. American Statistician 25(4), 30-32</t>
        </r>
      </text>
    </comment>
    <comment ref="AC87" authorId="0" shapeId="0" xr:uid="{3A6F4230-1D77-9C4C-9C08-296D3DD51232}">
      <text>
        <r>
          <rPr>
            <sz val="9"/>
            <color indexed="81"/>
            <rFont val="Tahoma"/>
            <family val="2"/>
          </rPr>
          <t>The standard deviation derived from a small sample is biased slightly low.  The correction factor used here comes from Gurland and Tripathi (1971).  It's probably better not to use this factor, because it is practically negligible for sample sizes of ~10 or more, and any statistical manipulations involving the SD should be done with the uncorrected SD or the variance (the square of the SD, which is not biased).
Gurland J, Tripathi RC (1971). A simple approximation for unbiased estimation of the standard deviation. American Statistician 25(4), 30-32</t>
        </r>
      </text>
    </comment>
    <comment ref="K88" authorId="1" shapeId="0" xr:uid="{EEDA468F-31C6-7748-92D4-7EFD81184D0F}">
      <text>
        <r>
          <rPr>
            <sz val="8"/>
            <color indexed="81"/>
            <rFont val="Tahoma"/>
            <family val="2"/>
          </rPr>
          <t>Corrected for small-sample bias using the factor shown three rows down.</t>
        </r>
      </text>
    </comment>
    <comment ref="Q88" authorId="1" shapeId="0" xr:uid="{23870576-02E4-5640-985F-FBFF529DBFBC}">
      <text>
        <r>
          <rPr>
            <sz val="8"/>
            <color indexed="81"/>
            <rFont val="Tahoma"/>
            <family val="2"/>
          </rPr>
          <t>Confidence limits for mean Pearson not available.</t>
        </r>
      </text>
    </comment>
    <comment ref="K91" authorId="0" shapeId="0" xr:uid="{B01ABC83-97D0-6747-9F1C-2C547C08FA5C}">
      <text>
        <r>
          <rPr>
            <sz val="8"/>
            <color indexed="81"/>
            <rFont val="Tahoma"/>
            <family val="2"/>
          </rPr>
          <t>The Pearson and intraclass correlation are biased low. The factor to correct the Pearson is 1 + (1-r^2)/(2(n-3)), where n is the sample size. Olkin, I., &amp; Pratt, J.W. (1958). Unbiased estimation of certain correlation coefficients. Annals of Mathematical Statistics, 29, 201-211.</t>
        </r>
      </text>
    </comment>
    <comment ref="K92" authorId="0" shapeId="0" xr:uid="{00036866-A00C-6E4C-8077-363FAC112415}">
      <text>
        <r>
          <rPr>
            <sz val="8"/>
            <color indexed="81"/>
            <rFont val="Tahoma"/>
            <family val="2"/>
          </rPr>
          <t>=1-sd^2/SD^2, where sd is the typical error and SD is the mean between-subject standard deviation in the two trials (derived by weighting the variances by their degrees of freedom). Also corrected for small-sample bias using the same factor as for the Pearson. My simulations show that this factor does not quite correct the bias, but the remaining bias is negligible.</t>
        </r>
      </text>
    </comment>
    <comment ref="AB94" authorId="0" shapeId="0" xr:uid="{99D7C369-64E9-F64C-B6D7-3EEDCD6323E2}">
      <text>
        <r>
          <rPr>
            <sz val="8"/>
            <color indexed="81"/>
            <rFont val="Tahoma"/>
            <family val="2"/>
          </rPr>
          <t>The above change in mean, typical error and confidence limits are all divided by the "pure" between-subject SD (=sqrt(SD^2</t>
        </r>
        <r>
          <rPr>
            <sz val="8"/>
            <color indexed="81"/>
            <rFont val="Symbol"/>
            <family val="1"/>
            <charset val="2"/>
          </rPr>
          <t>-</t>
        </r>
        <r>
          <rPr>
            <sz val="8"/>
            <color indexed="81"/>
            <rFont val="Tahoma"/>
            <family val="2"/>
          </rPr>
          <t>sd^2), where SD is the mean SD for the trials included in the analysis (derived by averaging the variances, weighted by the degrees of freedom) and sd is the typical error. 
These calculations are done with log-transformed values.  Back-transformation is not an issue.
If the ICC is zero or negative, the standardized values are not calculated, because the pure SD is effectively zero.
I have not corrected the standardized values for the small amount of upward bias that arises from downware bias in the between-subject SD.  The correction factor for standardized effects is 1-3/(4*v-1), where v is the degrees of freedom for the SD.  Becker BJ (1988). Synthesizing standardized mean-change measures. British Journal of Mathematical and Statistical Psychology 41, 257-278.</t>
        </r>
      </text>
    </comment>
    <comment ref="AC95" authorId="0" shapeId="0" xr:uid="{38FFECF8-3B60-CB41-B24E-183B12FCADBC}">
      <text>
        <r>
          <rPr>
            <sz val="8"/>
            <color indexed="81"/>
            <rFont val="Tahoma"/>
            <family val="2"/>
          </rPr>
          <t xml:space="preserve">Thresholds for interpretation of the change in the mean are 0.2, 0.6, 1.2, 2.0, 4.0 for small, moderate, large, very large and extremely large. </t>
        </r>
      </text>
    </comment>
    <comment ref="AC99" authorId="0" shapeId="0" xr:uid="{AA3F1733-6DEA-3043-9EF0-951B8D96432E}">
      <text>
        <r>
          <rPr>
            <sz val="8"/>
            <color indexed="81"/>
            <rFont val="Tahoma"/>
            <family val="2"/>
          </rPr>
          <t>The standardized typical error should be doubled to interpret its magnitude using the thresholds for interpretation of the change in the mean (0.2, 0.6, 1.2, 2.0, 4.0 for small, moderate, large, very large and extremely large. Reason: SDs need to be doubled before you interpret their magnitudes, according to Smith TB, Hopkins WG (2011). Variability and predictability of finals times of elite rowers. Medicine and Science in Sports and Exercise 43, 2155-2160.</t>
        </r>
      </text>
    </comment>
    <comment ref="AC103" authorId="0" shapeId="0" xr:uid="{D8FAAB4C-DD58-7B4B-BDC2-E35274DD9288}">
      <text>
        <r>
          <rPr>
            <sz val="9"/>
            <color indexed="81"/>
            <rFont val="Tahoma"/>
            <family val="2"/>
          </rPr>
          <t>The standard deviation derived from a small sample is biased slightly low.  The correction factor used here comes from Gurland and Tripathi (1971).  It's probably better not to use this factor, because it is practically negligible for sample sizes of ~10 or more, and any statistical manipulations involving the SD should be done with the uncorrected SD or the variance (the square of the SD, which is not biased).
Gurland J, Tripathi RC (1971). A simple approximation for unbiased estimation of the standard deviation. American Statistician 25(4), 30-32</t>
        </r>
      </text>
    </comment>
    <comment ref="AC105" authorId="0" shapeId="0" xr:uid="{2D90D0F8-3119-AA4E-B837-5A3EC5572E77}">
      <text>
        <r>
          <rPr>
            <sz val="8"/>
            <color indexed="81"/>
            <rFont val="Tahoma"/>
            <family val="2"/>
          </rPr>
          <t>Corrected for small-sample bias using the factor shown three rows down.
The calculations are done with log-transformed values.  Back-transformation is not an issue.</t>
        </r>
      </text>
    </comment>
    <comment ref="AI105" authorId="1" shapeId="0" xr:uid="{2FA3DB40-37F2-0B48-9BD1-248A0650C73B}">
      <text>
        <r>
          <rPr>
            <sz val="8"/>
            <color indexed="81"/>
            <rFont val="Tahoma"/>
            <family val="2"/>
          </rPr>
          <t>Confidence limits for mean Pearson not available.</t>
        </r>
      </text>
    </comment>
    <comment ref="AC108" authorId="0" shapeId="0" xr:uid="{EFA43AF8-9F75-E240-9B6E-4D54C4C87539}">
      <text>
        <r>
          <rPr>
            <sz val="8"/>
            <color indexed="81"/>
            <rFont val="Tahoma"/>
            <family val="2"/>
          </rPr>
          <t>The Pearson and intraclass correlation are biased low. The factor to correct the Pearson is 1 + (1-r^2)/(2(n-3)), where n is the sample size. Olkin, I., &amp; Pratt, J.W. (1958). Unbiased estimation of certain correlation coefficients. Annals of Mathematical Statistics, 29, 201-211.</t>
        </r>
      </text>
    </comment>
    <comment ref="AC109" authorId="0" shapeId="0" xr:uid="{EB32C0F1-FD4D-3F4B-9EB0-F57A18F68E9D}">
      <text>
        <r>
          <rPr>
            <sz val="8"/>
            <color indexed="81"/>
            <rFont val="Tahoma"/>
            <family val="2"/>
          </rPr>
          <t>=1-sd^2/SD^2, where sd is the typical error and SD is the mean between-subject standard deviation in the two trials (derived by weighting the variances by their degrees of freedom). Also corrected for small-sample bias using the same factor as for the Pearson. My simulations show that this factor does not quite correct the bias, but the remaining bias is negligible.
These calculations are done with log-transformed values.  Back-transformation is not an issue.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Reviewer</author>
    <author>Will Hopkins</author>
  </authors>
  <commentList>
    <comment ref="C2" authorId="0" shapeId="0" xr:uid="{9EF2B8CF-6E9B-AF4D-97F9-0B8D2FA315CC}">
      <text>
        <r>
          <rPr>
            <sz val="8"/>
            <color indexed="81"/>
            <rFont val="Tahoma"/>
            <family val="2"/>
          </rPr>
          <t xml:space="preserve">
Hopkins WG (2015). Spreadsheets for analysis of validity and reliability. Sportscience 19, 36-42 (sportsci.org/2015/ValidRely.htm)</t>
        </r>
      </text>
    </comment>
    <comment ref="D3" authorId="1" shapeId="0" xr:uid="{67D10861-1B41-8D43-BE60-B9917D3F9FF5}">
      <text>
        <r>
          <rPr>
            <sz val="8"/>
            <color indexed="81"/>
            <rFont val="Tahoma"/>
            <family val="2"/>
          </rPr>
          <t>Oct. Added smallest important effect (difference or change in the variable) derived by standardization..
July. Added mean values for Pearson correlation.
June: Changed instructions for dealing with missing data.  Added more advice about when and when not to use log transformation.</t>
        </r>
      </text>
    </comment>
    <comment ref="E3" authorId="0" shapeId="0" xr:uid="{F5B1B1C5-B668-E54D-8DAF-7519553DCE46}">
      <text>
        <r>
          <rPr>
            <sz val="8"/>
            <color indexed="81"/>
            <rFont val="Tahoma"/>
            <family val="2"/>
          </rPr>
          <t>May: Changed the SD for standardizing back to the "pure" SD rather than the observed SD, but included code to show standardized values only if the ICC is positive. A negative ICC implies no real differences between subjects, either because that is the true state of affairs or because sampling variation makes it seem so; hence standardized values for typical error and changes in the mean are effectively infinite.  
Added comments that the typical error should be doubled to interpret its magnitude, according to Smith TB, Hopkins WG (2011). Variability and predictability of finals times of elite rowers. Medicine and Science in Sports and Exercise 43, 2155-2160
March: Provided user-friendly estimates of mean and SD of change scores.</t>
        </r>
      </text>
    </comment>
    <comment ref="F3" authorId="0" shapeId="0" xr:uid="{885D2B54-E5FE-3345-9E57-722D722F06C2}">
      <text>
        <r>
          <rPr>
            <sz val="8"/>
            <color indexed="81"/>
            <rFont val="Tahoma"/>
            <family val="2"/>
          </rPr>
          <t>Removed  error of measurement from the formulae for standardizing. I will address this issue in the forthcoming article.
Replaced unbiased estimates with the usual biased estimates, and included instead the correction factors.</t>
        </r>
      </text>
    </comment>
    <comment ref="G3" authorId="0" shapeId="0" xr:uid="{3DA06954-0982-8942-AF90-98833C00C53C}">
      <text>
        <r>
          <rPr>
            <sz val="8"/>
            <color indexed="81"/>
            <rFont val="Tahoma"/>
            <family val="2"/>
          </rPr>
          <t>Standardized changes in mean and typical error, instructions about factor effects, better estimates of intraclass correlation coefficients and their confidence limits.</t>
        </r>
      </text>
    </comment>
    <comment ref="C26" authorId="1" shapeId="0" xr:uid="{1CF4CD13-0CCE-AE4B-B3A7-93C4B36A7CFB}">
      <text>
        <r>
          <rPr>
            <sz val="8"/>
            <color indexed="81"/>
            <rFont val="Tahoma"/>
            <family val="2"/>
          </rPr>
          <t>This number generates smallest or other important magnitude thresholds for differences or changes when it is appropriate to define such thresholds by standardization.  The default is 0.2, for the smallest important effect. Insert 0.6, 1.2, 2.0, or 4.0 to get thresholds for moderate, large, very large and extremely large changes.  
The pure and observed between-subject SD are multiplied by this value. Use the threshold derived from the pure between-subject SD in most settings.  The threshold from the observed SD is appropriate only for performance indicators derived for team-sport players from games or matches. However, in the absence of a reliability study, researchers inevitably use the observed SD from the reference group or baseline test.</t>
        </r>
      </text>
    </comment>
    <comment ref="H27" authorId="0" shapeId="0" xr:uid="{2601D7C2-F0D6-0B4F-859C-A9AD93173A00}">
      <text>
        <r>
          <rPr>
            <sz val="8"/>
            <color indexed="81"/>
            <rFont val="Tahoma"/>
            <family val="2"/>
          </rPr>
          <t>For &gt;6 trials, copy and insert this entire column and/or the next column. Then label with 5, 6, 7 and so on.  Repeat for the log-transformed data, if your data require logs.</t>
        </r>
      </text>
    </comment>
    <comment ref="I27" authorId="0" shapeId="0" xr:uid="{162A69EA-0659-5D4F-A351-991D8C377282}">
      <text>
        <r>
          <rPr>
            <sz val="8"/>
            <color indexed="81"/>
            <rFont val="Tahoma"/>
            <family val="2"/>
          </rPr>
          <t>For &gt;6 trials, copy and insert this entire column and/or the previous column. then label with 5, 6, 7 and so on.  Repeat for the log-transformed data, if your data require logs.</t>
        </r>
      </text>
    </comment>
    <comment ref="N27" authorId="0" shapeId="0" xr:uid="{FA00B80F-6B59-8142-AD1D-921B8206439A}">
      <text>
        <r>
          <rPr>
            <sz val="8"/>
            <color indexed="81"/>
            <rFont val="Tahoma"/>
            <family val="2"/>
          </rPr>
          <t>Once you have inserted the extra raw-data and change-score columns, select this entire column, then drag-copy it across all the change columns to the right.  Do not drag it beyond the change coumns. Repeat for the log-transformed data, if your data require logs.</t>
        </r>
      </text>
    </comment>
    <comment ref="O27" authorId="0" shapeId="0" xr:uid="{3E074445-ADDD-934E-8C31-A27537E2AC30}">
      <text>
        <r>
          <rPr>
            <sz val="8"/>
            <color indexed="81"/>
            <rFont val="Tahoma"/>
            <family val="2"/>
          </rPr>
          <t>For &gt;6 trials, copy and insert this entire column and/or the next column.  Repeat for the log-transformed data, if your data require logs.</t>
        </r>
      </text>
    </comment>
    <comment ref="P27" authorId="0" shapeId="0" xr:uid="{EAD4312C-8BFC-C844-8A35-7C228F815733}">
      <text>
        <r>
          <rPr>
            <sz val="8"/>
            <color indexed="81"/>
            <rFont val="Tahoma"/>
            <family val="2"/>
          </rPr>
          <t>For &gt;6 trials, copy and insert this entire column and/or the previous column. Repeat for the log-transformed data, if your data require logs.</t>
        </r>
      </text>
    </comment>
    <comment ref="Y27" authorId="0" shapeId="0" xr:uid="{B491DF24-D5A8-5449-8400-01D91E44BA74}">
      <text>
        <r>
          <rPr>
            <sz val="8"/>
            <color indexed="81"/>
            <rFont val="Tahoma"/>
            <family val="2"/>
          </rPr>
          <t>Once you have inserted the extra columns, select this entire column, then drag-copy it across all the columns to the right.  Do not drag it into the Mean column.</t>
        </r>
      </text>
    </comment>
    <comment ref="Z27" authorId="0" shapeId="0" xr:uid="{A4B1AFA3-665C-A044-822E-12DED7192D7C}">
      <text>
        <r>
          <rPr>
            <sz val="8"/>
            <color indexed="81"/>
            <rFont val="Tahoma"/>
            <family val="2"/>
          </rPr>
          <t>Copy and insert this entire column and/or the next column for &gt;6 trials. You will need to have done this operation with the columns for raw data first.</t>
        </r>
      </text>
    </comment>
    <comment ref="AA27" authorId="0" shapeId="0" xr:uid="{2404CB61-ECFC-3346-8F84-6B096EF02E11}">
      <text>
        <r>
          <rPr>
            <sz val="8"/>
            <color indexed="81"/>
            <rFont val="Tahoma"/>
            <family val="2"/>
          </rPr>
          <t>Copy and insert this entire column and/or the previous column for &gt;6 trials. You will need to have done this operation with the columns for raw data first.</t>
        </r>
      </text>
    </comment>
    <comment ref="AF27" authorId="0" shapeId="0" xr:uid="{1BBE17DC-42D4-9341-80D6-14768B4DB071}">
      <text>
        <r>
          <rPr>
            <sz val="8"/>
            <color indexed="81"/>
            <rFont val="Tahoma"/>
            <family val="2"/>
          </rPr>
          <t>Once you have inserted the extra log-data and change-score columns, select this entire column, then drag-copy it across all the change columns to the right.  Do not drag it beyond the change coumns. You will need to have done this operation for the columns with raw data first.</t>
        </r>
      </text>
    </comment>
    <comment ref="AG27" authorId="0" shapeId="0" xr:uid="{92419A39-C174-4E4E-A01F-F5674EC07777}">
      <text>
        <r>
          <rPr>
            <sz val="8"/>
            <color indexed="81"/>
            <rFont val="Tahoma"/>
            <family val="2"/>
          </rPr>
          <t>For &gt;6 trials, copy and insert this entire column and/or the next column. You will need to have done this operation with the columns for raw data first.</t>
        </r>
      </text>
    </comment>
    <comment ref="AH27" authorId="0" shapeId="0" xr:uid="{0424817C-4DFF-FB4C-B54D-64EAE4EB1193}">
      <text>
        <r>
          <rPr>
            <sz val="8"/>
            <color indexed="81"/>
            <rFont val="Tahoma"/>
            <family val="2"/>
          </rPr>
          <t>For &gt;6 trials, copy and insert this entire column and/or the previous column.  You will need to have done this operation with the columns for raw data first.</t>
        </r>
      </text>
    </comment>
    <comment ref="J48" authorId="0" shapeId="0" xr:uid="{0EA3705F-F518-9F4B-928A-9F8707F60188}">
      <text>
        <r>
          <rPr>
            <sz val="8"/>
            <color rgb="FF000000"/>
            <rFont val="Tahoma"/>
            <family val="2"/>
          </rPr>
          <t>Total number of different subjects contributing to the mean, not the mean number of subjects.</t>
        </r>
      </text>
    </comment>
    <comment ref="Q48" authorId="0" shapeId="0" xr:uid="{02143DDB-8BCB-234C-B937-EB65ED77B3C8}">
      <text>
        <r>
          <rPr>
            <sz val="8"/>
            <color rgb="FF000000"/>
            <rFont val="Tahoma"/>
            <family val="2"/>
          </rPr>
          <t>Total number of different subjects contributing to the mean, not the mean number of subjects.</t>
        </r>
      </text>
    </comment>
    <comment ref="C49" authorId="0" shapeId="0" xr:uid="{41128AC2-3438-8342-A5FF-AD9E8BB534F0}">
      <text>
        <r>
          <rPr>
            <sz val="8"/>
            <color indexed="81"/>
            <rFont val="Tahoma"/>
            <family val="2"/>
          </rPr>
          <t>Set to blank or 0 to omit from the calculations.  Set to anything else to include.</t>
        </r>
      </text>
    </comment>
    <comment ref="U49" authorId="0" shapeId="0" xr:uid="{971449B0-A1B7-114F-A5FC-9D5DDAE8F52E}">
      <text>
        <r>
          <rPr>
            <sz val="8"/>
            <color indexed="81"/>
            <rFont val="Tahoma"/>
            <family val="2"/>
          </rPr>
          <t>Set to blank or 0 to omit from the calculations.  Set to anything else to include.  You can do it here or in the corresponding cells underneath the raw data.</t>
        </r>
      </text>
    </comment>
    <comment ref="AC50" authorId="0" shapeId="0" xr:uid="{4DA55629-03FD-9B4C-BED3-1B90A410DAE0}">
      <text>
        <r>
          <rPr>
            <sz val="8"/>
            <color indexed="81"/>
            <rFont val="Tahoma"/>
            <family val="2"/>
          </rPr>
          <t>Use when factor change exceeds ~1.5.</t>
        </r>
      </text>
    </comment>
    <comment ref="AC51" authorId="0" shapeId="0" xr:uid="{46DC4935-44F8-3C48-9464-FBAC7A5F9C2B}">
      <text>
        <r>
          <rPr>
            <sz val="8"/>
            <color indexed="81"/>
            <rFont val="Tahoma"/>
            <family val="2"/>
          </rPr>
          <t>Use when SD as factor exceeds ~1.5.</t>
        </r>
      </text>
    </comment>
    <comment ref="U52" authorId="0" shapeId="0" xr:uid="{F7D5E70F-E243-5E4D-A50A-AB6CD170521A}">
      <text>
        <r>
          <rPr>
            <sz val="9"/>
            <color indexed="81"/>
            <rFont val="Tahoma"/>
            <family val="2"/>
          </rPr>
          <t>Use when SD exceeds ~50%.</t>
        </r>
      </text>
    </comment>
    <comment ref="AC52" authorId="0" shapeId="0" xr:uid="{32C5B1D0-2565-5D48-86DA-5138029B6E2A}">
      <text>
        <r>
          <rPr>
            <sz val="8"/>
            <color indexed="81"/>
            <rFont val="Tahoma"/>
            <family val="2"/>
          </rPr>
          <t>Use when change is less than ~50%.</t>
        </r>
      </text>
    </comment>
    <comment ref="U53" authorId="0" shapeId="0" xr:uid="{3EBACB35-2D1E-E74B-9D2C-DAA1E4326F15}">
      <text>
        <r>
          <rPr>
            <sz val="9"/>
            <color indexed="81"/>
            <rFont val="Tahoma"/>
            <family val="2"/>
          </rPr>
          <t>Use when SD is less than ~50%.</t>
        </r>
      </text>
    </comment>
    <comment ref="AC53" authorId="0" shapeId="0" xr:uid="{A11E1FF6-A536-0341-8FCD-E2F87DF12D81}">
      <text>
        <r>
          <rPr>
            <sz val="9"/>
            <color indexed="81"/>
            <rFont val="Tahoma"/>
            <family val="2"/>
          </rPr>
          <t>Use when SD is less than ~50%.</t>
        </r>
      </text>
    </comment>
    <comment ref="AB54" authorId="0" shapeId="0" xr:uid="{21F35477-D00E-8E49-895B-BE819ECF813B}">
      <text>
        <r>
          <rPr>
            <sz val="8"/>
            <color indexed="81"/>
            <rFont val="Tahoma"/>
            <family val="2"/>
          </rPr>
          <t xml:space="preserve">Total number of different subjects contributing to the mean, not the mean number of subjects.
</t>
        </r>
      </text>
    </comment>
    <comment ref="AI54" authorId="0" shapeId="0" xr:uid="{9DE8D6C2-7F60-7A43-A3A1-4F260C3BA059}">
      <text>
        <r>
          <rPr>
            <sz val="8"/>
            <color indexed="81"/>
            <rFont val="Tahoma"/>
            <family val="2"/>
          </rPr>
          <t>Total number of different subjects contributing to the mean, not the mean number of subjects.</t>
        </r>
      </text>
    </comment>
    <comment ref="AB56" authorId="0" shapeId="0" xr:uid="{90224DAB-0E2F-9445-8582-289D087F8CBF}">
      <text>
        <r>
          <rPr>
            <sz val="8"/>
            <color indexed="81"/>
            <rFont val="Tahoma"/>
            <family val="2"/>
          </rPr>
          <t>Use when</t>
        </r>
        <r>
          <rPr>
            <sz val="8"/>
            <color indexed="81"/>
            <rFont val="Tahoma"/>
            <family val="2"/>
          </rPr>
          <t xml:space="preserve"> changes in mean and errors </t>
        </r>
        <r>
          <rPr>
            <sz val="8"/>
            <color indexed="81"/>
            <rFont val="Tahoma"/>
            <family val="2"/>
          </rPr>
          <t>exceed ~50%.</t>
        </r>
      </text>
    </comment>
    <comment ref="K60" authorId="0" shapeId="0" xr:uid="{9274C35A-A310-0F47-9FED-6BD780DAA833}">
      <text>
        <r>
          <rPr>
            <sz val="8"/>
            <color indexed="81"/>
            <rFont val="Tahoma"/>
            <family val="2"/>
          </rPr>
          <t>You should double the typical error before you interpret its magnitude, according to Smith TB, Hopkins WG (2011). Variability and predictability of finals times of elite rowers. Medicine and Science in Sports and Exercise 43, 2155-2160.</t>
        </r>
      </text>
    </comment>
    <comment ref="AC61" authorId="0" shapeId="0" xr:uid="{C2F0155E-B19B-494C-B00D-FC148BE13FDC}">
      <text>
        <r>
          <rPr>
            <sz val="8"/>
            <color indexed="81"/>
            <rFont val="Tahoma"/>
            <family val="2"/>
          </rPr>
          <t>You should double the typical error (here, square it) before you interpret its magnitude, according to Smith TB, Hopkins WG (2011). Variability and predictability of finals times of elite rowers. Medicine and Science in Sports and Exercise 43, 2155-2160.</t>
        </r>
      </text>
    </comment>
    <comment ref="K64" authorId="0" shapeId="0" xr:uid="{35B265EC-657B-C044-BBCB-223618209A72}">
      <text>
        <r>
          <rPr>
            <sz val="9"/>
            <color indexed="81"/>
            <rFont val="Tahoma"/>
            <family val="2"/>
          </rPr>
          <t>The standard deviation derived from a small sample is biased slightly low.  The correction factor used here comes from Gurland and Tripathi (1971).  It's probably better not to use this factor, because it is practically negligible for sample sizes of ~10 or more, and any statistical manipulations involving the SD should be done with the uncorrected SD or the variance (the square of the SD, which is not biased).
Gurland J, Tripathi RC (1971). A simple approximation for unbiased estimation of the standard deviation. American Statistician 25(4), 30-32</t>
        </r>
      </text>
    </comment>
    <comment ref="AC65" authorId="0" shapeId="0" xr:uid="{5890DA1A-EAA3-8B4B-A550-2F54F17207A1}">
      <text>
        <r>
          <rPr>
            <sz val="9"/>
            <color indexed="81"/>
            <rFont val="Tahoma"/>
            <family val="2"/>
          </rPr>
          <t>The standard deviation derived from a small sample is biased slightly low.  The correction factor used here comes from Gurland and Tripathi (1971).  It's probably better not to use this factor, because it is practically negligible for sample sizes of ~10 or more, and any statistical manipulations involving the SD should be done with the uncorrected SD or the variance (the square of the SD, which is not biased).
Gurland J, Tripathi RC (1971). A simple approximation for unbiased estimation of the standard deviation. American Statistician 25(4), 30-32</t>
        </r>
      </text>
    </comment>
    <comment ref="Q71" authorId="0" shapeId="0" xr:uid="{3426B7F2-0AA8-6C48-A50A-F3D51A72BD28}">
      <text>
        <r>
          <rPr>
            <sz val="8"/>
            <color indexed="81"/>
            <rFont val="Tahoma"/>
            <family val="2"/>
          </rPr>
          <t>Adjusted for interdependence of consecutive statistics and for missing values.</t>
        </r>
      </text>
    </comment>
    <comment ref="J72" authorId="0" shapeId="0" xr:uid="{88BF348C-883C-BC40-AA6A-52282378E4C6}">
      <text>
        <r>
          <rPr>
            <sz val="8"/>
            <color indexed="81"/>
            <rFont val="Tahoma"/>
            <family val="2"/>
          </rPr>
          <t>The above change in mean, typical error and confidence limits are all divided by the "pure" between-subject SD (=sqrt(SD^2</t>
        </r>
        <r>
          <rPr>
            <sz val="8"/>
            <color indexed="81"/>
            <rFont val="Symbol"/>
            <family val="1"/>
            <charset val="2"/>
          </rPr>
          <t>-</t>
        </r>
        <r>
          <rPr>
            <sz val="8"/>
            <color indexed="81"/>
            <rFont val="Tahoma"/>
            <family val="2"/>
          </rPr>
          <t>sd^2), where SD is the mean SD for the trials included in the analysis (derived by averaging the variances, weighted by the degrees of freedom) and sd is the typical error. 
If the ICC is zero or negative, the standardized values are not calculated, because the pure SD is effectively zero.
I have not corrected the standardized values for the small amount of upward bias that arises from downware bias in the between-subject SD.  The correction factor for standardized effects is 1-3/(4*v-1), where v is the degrees of freedom for the SD.  Becker BJ (1988). Synthesizing standardized mean-change measures. British Journal of Mathematical and Statistical Psychology 41, 257-278.</t>
        </r>
      </text>
    </comment>
    <comment ref="AI72" authorId="0" shapeId="0" xr:uid="{98D87C67-F155-5449-A190-48B8180F1BE7}">
      <text>
        <r>
          <rPr>
            <sz val="8"/>
            <color indexed="81"/>
            <rFont val="Tahoma"/>
            <family val="2"/>
          </rPr>
          <t>Adjusted for interdependence of consecutive statistics and for missing values.</t>
        </r>
      </text>
    </comment>
    <comment ref="K73" authorId="0" shapeId="0" xr:uid="{ED5A2BFE-B36C-2543-A281-062C13421920}">
      <text>
        <r>
          <rPr>
            <sz val="8"/>
            <color indexed="81"/>
            <rFont val="Tahoma"/>
            <family val="2"/>
          </rPr>
          <t xml:space="preserve">Thresholds for interpretation of the change in the mean are 0.2, 0.6, 1.2, 2.0, 4.0 for small, moderate, large, very large and extremely large. </t>
        </r>
      </text>
    </comment>
    <comment ref="AB73" authorId="0" shapeId="0" xr:uid="{727E58FD-E3EC-FB42-82EE-305259E3A67B}">
      <text>
        <r>
          <rPr>
            <sz val="8"/>
            <color indexed="81"/>
            <rFont val="Tahoma"/>
            <family val="2"/>
          </rPr>
          <t>Use when changes in mean and errors are less than ~50%.</t>
        </r>
      </text>
    </comment>
    <comment ref="K77" authorId="0" shapeId="0" xr:uid="{43049F5C-EBC3-4A42-9B5C-4AC2E3A64DB0}">
      <text>
        <r>
          <rPr>
            <sz val="8"/>
            <color indexed="81"/>
            <rFont val="Tahoma"/>
            <family val="2"/>
          </rPr>
          <t>The standardized typical error should be doubled to interpret its magnitude using the thresholds for interpretation of the change in the mean (0.2, 0.6, 1.2, 2.0, 4.0 for small, moderate, large, very large and extremely large. Reason: SDs need to be doubled before you interpret their magnitudes, according to Smith TB, Hopkins WG (2011). Variability and predictability of finals times of elite rowers. Medicine and Science in Sports and Exercise 43, 2155-2160.</t>
        </r>
      </text>
    </comment>
    <comment ref="AC78" authorId="0" shapeId="0" xr:uid="{39624734-4924-1145-87FE-BCDD432B7476}">
      <text>
        <r>
          <rPr>
            <sz val="8"/>
            <color indexed="81"/>
            <rFont val="Tahoma"/>
            <family val="2"/>
          </rPr>
          <t>You should double the typical error before you interpret its magnitude, according to Smith TB, Hopkins WG (2011). Variability and predictability of finals times of elite rowers. Medicine and Science in Sports and Exercise 43, 2155-2160. For percent errors &gt;20%, it's not a simple matter of doubling.  Instead, consider the factor typical error, which you have to square.</t>
        </r>
      </text>
    </comment>
    <comment ref="K81" authorId="0" shapeId="0" xr:uid="{405DFA57-AF7C-EE48-8111-CA9093B44E0D}">
      <text>
        <r>
          <rPr>
            <sz val="9"/>
            <color indexed="81"/>
            <rFont val="Tahoma"/>
            <family val="2"/>
          </rPr>
          <t>The standard deviation derived from a small sample is biased slightly low.  The correction factor used here comes from Gurland and Tripathi (1971).  It's probably better not to use this factor, because it is practically negligible for sample sizes of ~10 or more, and any statistical manipulations involving the SD should be done with the uncorrected SD or the variance (the square of the SD, which is not biased).
Gurland J, Tripathi RC (1971). A simple approximation for unbiased estimation of the standard deviation. American Statistician 25(4), 30-32</t>
        </r>
      </text>
    </comment>
    <comment ref="AC82" authorId="0" shapeId="0" xr:uid="{343DE313-23A6-E642-8E38-F66ACBD12B82}">
      <text>
        <r>
          <rPr>
            <sz val="9"/>
            <color indexed="81"/>
            <rFont val="Tahoma"/>
            <family val="2"/>
          </rPr>
          <t>The standard deviation derived from a small sample is biased slightly low.  The correction factor used here comes from Gurland and Tripathi (1971).  It's probably better not to use this factor, because it is practically negligible for sample sizes of ~10 or more, and any statistical manipulations involving the SD should be done with the uncorrected SD or the variance (the square of the SD, which is not biased).
Gurland J, Tripathi RC (1971). A simple approximation for unbiased estimation of the standard deviation. American Statistician 25(4), 30-32</t>
        </r>
      </text>
    </comment>
    <comment ref="K83" authorId="1" shapeId="0" xr:uid="{4B1887D0-589A-3047-80B7-E2B289A9CE16}">
      <text>
        <r>
          <rPr>
            <sz val="8"/>
            <color indexed="81"/>
            <rFont val="Tahoma"/>
            <family val="2"/>
          </rPr>
          <t>Corrected for small-sample bias using the factor shown three rows down.</t>
        </r>
      </text>
    </comment>
    <comment ref="Q83" authorId="1" shapeId="0" xr:uid="{38A9B485-57EF-C44B-9DB4-FBB696C5A6EA}">
      <text>
        <r>
          <rPr>
            <sz val="8"/>
            <color indexed="81"/>
            <rFont val="Tahoma"/>
            <family val="2"/>
          </rPr>
          <t>Confidence limits for mean Pearson not available.</t>
        </r>
      </text>
    </comment>
    <comment ref="K86" authorId="0" shapeId="0" xr:uid="{89F77DA9-A124-B448-AF1B-DE725BDCB332}">
      <text>
        <r>
          <rPr>
            <sz val="8"/>
            <color indexed="81"/>
            <rFont val="Tahoma"/>
            <family val="2"/>
          </rPr>
          <t>The Pearson and intraclass correlation are biased low. The factor to correct the Pearson is 1 + (1-r^2)/(2(n-3)), where n is the sample size. Olkin, I., &amp; Pratt, J.W. (1958). Unbiased estimation of certain correlation coefficients. Annals of Mathematical Statistics, 29, 201-211.</t>
        </r>
      </text>
    </comment>
    <comment ref="K87" authorId="0" shapeId="0" xr:uid="{CD00695B-64D2-7341-B0F7-8BD027F1D5DA}">
      <text>
        <r>
          <rPr>
            <sz val="8"/>
            <color indexed="81"/>
            <rFont val="Tahoma"/>
            <family val="2"/>
          </rPr>
          <t>=1-sd^2/SD^2, where sd is the typical error and SD is the mean between-subject standard deviation in the two trials (derived by weighting the variances by their degrees of freedom). Also corrected for small-sample bias using the same factor as for the Pearson. My simulations show that this factor does not quite correct the bias, but the remaining bias is negligible.</t>
        </r>
      </text>
    </comment>
    <comment ref="AB89" authorId="0" shapeId="0" xr:uid="{89EFAB8B-35E1-7D41-A4BD-AC70C1FB052D}">
      <text>
        <r>
          <rPr>
            <sz val="8"/>
            <color indexed="81"/>
            <rFont val="Tahoma"/>
            <family val="2"/>
          </rPr>
          <t>The above change in mean, typical error and confidence limits are all divided by the "pure" between-subject SD (=sqrt(SD^2</t>
        </r>
        <r>
          <rPr>
            <sz val="8"/>
            <color indexed="81"/>
            <rFont val="Symbol"/>
            <family val="1"/>
            <charset val="2"/>
          </rPr>
          <t>-</t>
        </r>
        <r>
          <rPr>
            <sz val="8"/>
            <color indexed="81"/>
            <rFont val="Tahoma"/>
            <family val="2"/>
          </rPr>
          <t>sd^2), where SD is the mean SD for the trials included in the analysis (derived by averaging the variances, weighted by the degrees of freedom) and sd is the typical error. 
These calculations are done with log-transformed values.  Back-transformation is not an issue.
If the ICC is zero or negative, the standardized values are not calculated, because the pure SD is effectively zero.
I have not corrected the standardized values for the small amount of upward bias that arises from downware bias in the between-subject SD.  The correction factor for standardized effects is 1-3/(4*v-1), where v is the degrees of freedom for the SD.  Becker BJ (1988). Synthesizing standardized mean-change measures. British Journal of Mathematical and Statistical Psychology 41, 257-278.</t>
        </r>
      </text>
    </comment>
    <comment ref="AC90" authorId="0" shapeId="0" xr:uid="{C3A7FF62-964C-574B-86E7-6919332C59D0}">
      <text>
        <r>
          <rPr>
            <sz val="8"/>
            <color indexed="81"/>
            <rFont val="Tahoma"/>
            <family val="2"/>
          </rPr>
          <t xml:space="preserve">Thresholds for interpretation of the change in the mean are 0.2, 0.6, 1.2, 2.0, 4.0 for small, moderate, large, very large and extremely large. </t>
        </r>
      </text>
    </comment>
    <comment ref="AC94" authorId="0" shapeId="0" xr:uid="{1D549166-6C61-8347-9E04-AB8416A44904}">
      <text>
        <r>
          <rPr>
            <sz val="8"/>
            <color indexed="81"/>
            <rFont val="Tahoma"/>
            <family val="2"/>
          </rPr>
          <t>The standardized typical error should be doubled to interpret its magnitude using the thresholds for interpretation of the change in the mean (0.2, 0.6, 1.2, 2.0, 4.0 for small, moderate, large, very large and extremely large. Reason: SDs need to be doubled before you interpret their magnitudes, according to Smith TB, Hopkins WG (2011). Variability and predictability of finals times of elite rowers. Medicine and Science in Sports and Exercise 43, 2155-2160.</t>
        </r>
      </text>
    </comment>
    <comment ref="AC98" authorId="0" shapeId="0" xr:uid="{98825985-9A1C-AE40-ABED-0E39BBF461F6}">
      <text>
        <r>
          <rPr>
            <sz val="9"/>
            <color indexed="81"/>
            <rFont val="Tahoma"/>
            <family val="2"/>
          </rPr>
          <t>The standard deviation derived from a small sample is biased slightly low.  The correction factor used here comes from Gurland and Tripathi (1971).  It's probably better not to use this factor, because it is practically negligible for sample sizes of ~10 or more, and any statistical manipulations involving the SD should be done with the uncorrected SD or the variance (the square of the SD, which is not biased).
Gurland J, Tripathi RC (1971). A simple approximation for unbiased estimation of the standard deviation. American Statistician 25(4), 30-32</t>
        </r>
      </text>
    </comment>
    <comment ref="AC100" authorId="0" shapeId="0" xr:uid="{CC4B27F3-A5C5-2E43-9607-4BEAFDEFBB06}">
      <text>
        <r>
          <rPr>
            <sz val="8"/>
            <color indexed="81"/>
            <rFont val="Tahoma"/>
            <family val="2"/>
          </rPr>
          <t>Corrected for small-sample bias using the factor shown three rows down.
The calculations are done with log-transformed values.  Back-transformation is not an issue.</t>
        </r>
      </text>
    </comment>
    <comment ref="AI100" authorId="1" shapeId="0" xr:uid="{9FDDB6B1-680B-A64E-9888-E2710868C41C}">
      <text>
        <r>
          <rPr>
            <sz val="8"/>
            <color indexed="81"/>
            <rFont val="Tahoma"/>
            <family val="2"/>
          </rPr>
          <t>Confidence limits for mean Pearson not available.</t>
        </r>
      </text>
    </comment>
    <comment ref="AC103" authorId="0" shapeId="0" xr:uid="{30DD9AA0-688A-0D4D-8CDD-A91442B87538}">
      <text>
        <r>
          <rPr>
            <sz val="8"/>
            <color indexed="81"/>
            <rFont val="Tahoma"/>
            <family val="2"/>
          </rPr>
          <t>The Pearson and intraclass correlation are biased low. The factor to correct the Pearson is 1 + (1-r^2)/(2(n-3)), where n is the sample size. Olkin, I., &amp; Pratt, J.W. (1958). Unbiased estimation of certain correlation coefficients. Annals of Mathematical Statistics, 29, 201-211.</t>
        </r>
      </text>
    </comment>
    <comment ref="AC104" authorId="0" shapeId="0" xr:uid="{F652F691-AE19-A64D-8867-24E94130D377}">
      <text>
        <r>
          <rPr>
            <sz val="8"/>
            <color indexed="81"/>
            <rFont val="Tahoma"/>
            <family val="2"/>
          </rPr>
          <t>=1-sd^2/SD^2, where sd is the typical error and SD is the mean between-subject standard deviation in the two trials (derived by weighting the variances by their degrees of freedom). Also corrected for small-sample bias using the same factor as for the Pearson. My simulations show that this factor does not quite correct the bias, but the remaining bias is negligible.
These calculations are done with log-transformed values.  Back-transformation is not an issue.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Reviewer</author>
    <author>Will Hopkins</author>
  </authors>
  <commentList>
    <comment ref="C2" authorId="0" shapeId="0" xr:uid="{E2EBD3B2-390E-D84B-A70B-F45E7D2BE9FC}">
      <text>
        <r>
          <rPr>
            <sz val="8"/>
            <color indexed="81"/>
            <rFont val="Tahoma"/>
            <family val="2"/>
          </rPr>
          <t xml:space="preserve">
Hopkins WG (2015). Spreadsheets for analysis of validity and reliability. Sportscience 19, 36-42 (sportsci.org/2015/ValidRely.htm)</t>
        </r>
      </text>
    </comment>
    <comment ref="D3" authorId="1" shapeId="0" xr:uid="{724CAED7-9871-7340-AA3C-FC999329D3B9}">
      <text>
        <r>
          <rPr>
            <sz val="8"/>
            <color indexed="81"/>
            <rFont val="Tahoma"/>
            <family val="2"/>
          </rPr>
          <t>Oct. Added smallest important effect (difference or change in the variable) derived by standardization..
July. Added mean values for Pearson correlation.
June: Changed instructions for dealing with missing data.  Added more advice about when and when not to use log transformation.</t>
        </r>
      </text>
    </comment>
    <comment ref="E3" authorId="0" shapeId="0" xr:uid="{7F11A338-4622-7D47-A98E-504CE8F2CEA8}">
      <text>
        <r>
          <rPr>
            <sz val="8"/>
            <color indexed="81"/>
            <rFont val="Tahoma"/>
            <family val="2"/>
          </rPr>
          <t>May: Changed the SD for standardizing back to the "pure" SD rather than the observed SD, but included code to show standardized values only if the ICC is positive. A negative ICC implies no real differences between subjects, either because that is the true state of affairs or because sampling variation makes it seem so; hence standardized values for typical error and changes in the mean are effectively infinite.  
Added comments that the typical error should be doubled to interpret its magnitude, according to Smith TB, Hopkins WG (2011). Variability and predictability of finals times of elite rowers. Medicine and Science in Sports and Exercise 43, 2155-2160
March: Provided user-friendly estimates of mean and SD of change scores.</t>
        </r>
      </text>
    </comment>
    <comment ref="F3" authorId="0" shapeId="0" xr:uid="{1B8B508F-DD70-DB45-8F96-EFF095AB780B}">
      <text>
        <r>
          <rPr>
            <sz val="8"/>
            <color indexed="81"/>
            <rFont val="Tahoma"/>
            <family val="2"/>
          </rPr>
          <t>Removed  error of measurement from the formulae for standardizing. I will address this issue in the forthcoming article.
Replaced unbiased estimates with the usual biased estimates, and included instead the correction factors.</t>
        </r>
      </text>
    </comment>
    <comment ref="G3" authorId="0" shapeId="0" xr:uid="{091C7CD5-F70C-BD4F-8023-471C30721ACF}">
      <text>
        <r>
          <rPr>
            <sz val="8"/>
            <color indexed="81"/>
            <rFont val="Tahoma"/>
            <family val="2"/>
          </rPr>
          <t>Standardized changes in mean and typical error, instructions about factor effects, better estimates of intraclass correlation coefficients and their confidence limits.</t>
        </r>
      </text>
    </comment>
    <comment ref="C26" authorId="1" shapeId="0" xr:uid="{9CF5728B-F67F-DF47-8B7C-6EF8F38B9875}">
      <text>
        <r>
          <rPr>
            <sz val="8"/>
            <color indexed="81"/>
            <rFont val="Tahoma"/>
            <family val="2"/>
          </rPr>
          <t>This number generates smallest or other important magnitude thresholds for differences or changes when it is appropriate to define such thresholds by standardization.  The default is 0.2, for the smallest important effect. Insert 0.6, 1.2, 2.0, or 4.0 to get thresholds for moderate, large, very large and extremely large changes.  
The pure and observed between-subject SD are multiplied by this value. Use the threshold derived from the pure between-subject SD in most settings.  The threshold from the observed SD is appropriate only for performance indicators derived for team-sport players from games or matches. However, in the absence of a reliability study, researchers inevitably use the observed SD from the reference group or baseline test.</t>
        </r>
      </text>
    </comment>
    <comment ref="H27" authorId="0" shapeId="0" xr:uid="{244D43E1-DB93-374D-BCD4-06F190F0B9F6}">
      <text>
        <r>
          <rPr>
            <sz val="8"/>
            <color indexed="81"/>
            <rFont val="Tahoma"/>
            <family val="2"/>
          </rPr>
          <t>For &gt;6 trials, copy and insert this entire column and/or the next column. Then label with 5, 6, 7 and so on.  Repeat for the log-transformed data, if your data require logs.</t>
        </r>
      </text>
    </comment>
    <comment ref="I27" authorId="0" shapeId="0" xr:uid="{7404452D-6716-0C4E-B923-D6C7E4F0BBF5}">
      <text>
        <r>
          <rPr>
            <sz val="8"/>
            <color indexed="81"/>
            <rFont val="Tahoma"/>
            <family val="2"/>
          </rPr>
          <t>For &gt;6 trials, copy and insert this entire column and/or the previous column. then label with 5, 6, 7 and so on.  Repeat for the log-transformed data, if your data require logs.</t>
        </r>
      </text>
    </comment>
    <comment ref="N27" authorId="0" shapeId="0" xr:uid="{3DB91022-266F-4E4F-B52C-31003FD67E55}">
      <text>
        <r>
          <rPr>
            <sz val="8"/>
            <color indexed="81"/>
            <rFont val="Tahoma"/>
            <family val="2"/>
          </rPr>
          <t>Once you have inserted the extra raw-data and change-score columns, select this entire column, then drag-copy it across all the change columns to the right.  Do not drag it beyond the change coumns. Repeat for the log-transformed data, if your data require logs.</t>
        </r>
      </text>
    </comment>
    <comment ref="O27" authorId="0" shapeId="0" xr:uid="{06965927-FB0C-CD4E-A0D7-06C13FA4FA12}">
      <text>
        <r>
          <rPr>
            <sz val="8"/>
            <color indexed="81"/>
            <rFont val="Tahoma"/>
            <family val="2"/>
          </rPr>
          <t>For &gt;6 trials, copy and insert this entire column and/or the next column.  Repeat for the log-transformed data, if your data require logs.</t>
        </r>
      </text>
    </comment>
    <comment ref="P27" authorId="0" shapeId="0" xr:uid="{56205DBB-1012-D346-94DC-AB092FC6DCB4}">
      <text>
        <r>
          <rPr>
            <sz val="8"/>
            <color indexed="81"/>
            <rFont val="Tahoma"/>
            <family val="2"/>
          </rPr>
          <t>For &gt;6 trials, copy and insert this entire column and/or the previous column. Repeat for the log-transformed data, if your data require logs.</t>
        </r>
      </text>
    </comment>
    <comment ref="Y27" authorId="0" shapeId="0" xr:uid="{D04AB018-D8CD-0540-B1B7-4C9A458120C8}">
      <text>
        <r>
          <rPr>
            <sz val="8"/>
            <color indexed="81"/>
            <rFont val="Tahoma"/>
            <family val="2"/>
          </rPr>
          <t>Once you have inserted the extra columns, select this entire column, then drag-copy it across all the columns to the right.  Do not drag it into the Mean column.</t>
        </r>
      </text>
    </comment>
    <comment ref="Z27" authorId="0" shapeId="0" xr:uid="{EBCB416C-E21A-EE4C-86B7-F333E4AFFFB1}">
      <text>
        <r>
          <rPr>
            <sz val="8"/>
            <color indexed="81"/>
            <rFont val="Tahoma"/>
            <family val="2"/>
          </rPr>
          <t>Copy and insert this entire column and/or the next column for &gt;6 trials. You will need to have done this operation with the columns for raw data first.</t>
        </r>
      </text>
    </comment>
    <comment ref="AA27" authorId="0" shapeId="0" xr:uid="{F44AD7C9-333B-6A4F-864F-9B8E5AC60D44}">
      <text>
        <r>
          <rPr>
            <sz val="8"/>
            <color indexed="81"/>
            <rFont val="Tahoma"/>
            <family val="2"/>
          </rPr>
          <t>Copy and insert this entire column and/or the previous column for &gt;6 trials. You will need to have done this operation with the columns for raw data first.</t>
        </r>
      </text>
    </comment>
    <comment ref="AF27" authorId="0" shapeId="0" xr:uid="{A211DF63-6D9D-D54B-A866-913CDBEDBA8D}">
      <text>
        <r>
          <rPr>
            <sz val="8"/>
            <color indexed="81"/>
            <rFont val="Tahoma"/>
            <family val="2"/>
          </rPr>
          <t>Once you have inserted the extra log-data and change-score columns, select this entire column, then drag-copy it across all the change columns to the right.  Do not drag it beyond the change coumns. You will need to have done this operation for the columns with raw data first.</t>
        </r>
      </text>
    </comment>
    <comment ref="AG27" authorId="0" shapeId="0" xr:uid="{12E3022F-1329-5D4E-B758-C4381712E462}">
      <text>
        <r>
          <rPr>
            <sz val="8"/>
            <color indexed="81"/>
            <rFont val="Tahoma"/>
            <family val="2"/>
          </rPr>
          <t>For &gt;6 trials, copy and insert this entire column and/or the next column. You will need to have done this operation with the columns for raw data first.</t>
        </r>
      </text>
    </comment>
    <comment ref="AH27" authorId="0" shapeId="0" xr:uid="{ABB4D540-C14D-664B-A5D0-365856584C8F}">
      <text>
        <r>
          <rPr>
            <sz val="8"/>
            <color indexed="81"/>
            <rFont val="Tahoma"/>
            <family val="2"/>
          </rPr>
          <t>For &gt;6 trials, copy and insert this entire column and/or the previous column.  You will need to have done this operation with the columns for raw data first.</t>
        </r>
      </text>
    </comment>
    <comment ref="J48" authorId="0" shapeId="0" xr:uid="{5D56DF7B-1768-784C-89F3-56C7474E1EC7}">
      <text>
        <r>
          <rPr>
            <sz val="8"/>
            <color rgb="FF000000"/>
            <rFont val="Tahoma"/>
            <family val="2"/>
          </rPr>
          <t>Total number of different subjects contributing to the mean, not the mean number of subjects.</t>
        </r>
      </text>
    </comment>
    <comment ref="Q48" authorId="0" shapeId="0" xr:uid="{A34BBDDC-435E-9F4C-9F6C-FF2BF5AD24ED}">
      <text>
        <r>
          <rPr>
            <sz val="8"/>
            <color rgb="FF000000"/>
            <rFont val="Tahoma"/>
            <family val="2"/>
          </rPr>
          <t>Total number of different subjects contributing to the mean, not the mean number of subjects.</t>
        </r>
      </text>
    </comment>
    <comment ref="C49" authorId="0" shapeId="0" xr:uid="{CBE5D32B-0ED4-5F4F-A1A5-57B423736203}">
      <text>
        <r>
          <rPr>
            <sz val="8"/>
            <color indexed="81"/>
            <rFont val="Tahoma"/>
            <family val="2"/>
          </rPr>
          <t>Set to blank or 0 to omit from the calculations.  Set to anything else to include.</t>
        </r>
      </text>
    </comment>
    <comment ref="U49" authorId="0" shapeId="0" xr:uid="{1DA64F07-27A1-A940-8AAB-01A402DD371F}">
      <text>
        <r>
          <rPr>
            <sz val="8"/>
            <color indexed="81"/>
            <rFont val="Tahoma"/>
            <family val="2"/>
          </rPr>
          <t>Set to blank or 0 to omit from the calculations.  Set to anything else to include.  You can do it here or in the corresponding cells underneath the raw data.</t>
        </r>
      </text>
    </comment>
    <comment ref="AC50" authorId="0" shapeId="0" xr:uid="{6DDA9BA0-D303-2F46-93AD-68DEEA1C449E}">
      <text>
        <r>
          <rPr>
            <sz val="8"/>
            <color indexed="81"/>
            <rFont val="Tahoma"/>
            <family val="2"/>
          </rPr>
          <t>Use when factor change exceeds ~1.5.</t>
        </r>
      </text>
    </comment>
    <comment ref="AC51" authorId="0" shapeId="0" xr:uid="{34F6A1FC-50F4-B448-83D9-0E4D28E22C0F}">
      <text>
        <r>
          <rPr>
            <sz val="8"/>
            <color indexed="81"/>
            <rFont val="Tahoma"/>
            <family val="2"/>
          </rPr>
          <t>Use when SD as factor exceeds ~1.5.</t>
        </r>
      </text>
    </comment>
    <comment ref="U52" authorId="0" shapeId="0" xr:uid="{11AF5004-1D85-5A47-BB33-02A59C021111}">
      <text>
        <r>
          <rPr>
            <sz val="9"/>
            <color indexed="81"/>
            <rFont val="Tahoma"/>
            <family val="2"/>
          </rPr>
          <t>Use when SD exceeds ~50%.</t>
        </r>
      </text>
    </comment>
    <comment ref="AC52" authorId="0" shapeId="0" xr:uid="{C92F5EEA-2296-6146-8214-E153B6A0B042}">
      <text>
        <r>
          <rPr>
            <sz val="8"/>
            <color indexed="81"/>
            <rFont val="Tahoma"/>
            <family val="2"/>
          </rPr>
          <t>Use when change is less than ~50%.</t>
        </r>
      </text>
    </comment>
    <comment ref="U53" authorId="0" shapeId="0" xr:uid="{25FB391B-DA9B-B144-907B-69E634C02674}">
      <text>
        <r>
          <rPr>
            <sz val="9"/>
            <color indexed="81"/>
            <rFont val="Tahoma"/>
            <family val="2"/>
          </rPr>
          <t>Use when SD is less than ~50%.</t>
        </r>
      </text>
    </comment>
    <comment ref="AC53" authorId="0" shapeId="0" xr:uid="{5E38CC71-D81F-D84E-82EA-3B039192782F}">
      <text>
        <r>
          <rPr>
            <sz val="9"/>
            <color indexed="81"/>
            <rFont val="Tahoma"/>
            <family val="2"/>
          </rPr>
          <t>Use when SD is less than ~50%.</t>
        </r>
      </text>
    </comment>
    <comment ref="AB54" authorId="0" shapeId="0" xr:uid="{AEE347D4-00F5-5148-9A69-3DE278D47FB4}">
      <text>
        <r>
          <rPr>
            <sz val="8"/>
            <color indexed="81"/>
            <rFont val="Tahoma"/>
            <family val="2"/>
          </rPr>
          <t xml:space="preserve">Total number of different subjects contributing to the mean, not the mean number of subjects.
</t>
        </r>
      </text>
    </comment>
    <comment ref="AI54" authorId="0" shapeId="0" xr:uid="{EE823BF0-734C-9E49-9DAE-3F1473E268BF}">
      <text>
        <r>
          <rPr>
            <sz val="8"/>
            <color indexed="81"/>
            <rFont val="Tahoma"/>
            <family val="2"/>
          </rPr>
          <t>Total number of different subjects contributing to the mean, not the mean number of subjects.</t>
        </r>
      </text>
    </comment>
    <comment ref="AB56" authorId="0" shapeId="0" xr:uid="{9C99D23E-A953-C647-97A8-8E1C1D728F76}">
      <text>
        <r>
          <rPr>
            <sz val="8"/>
            <color indexed="81"/>
            <rFont val="Tahoma"/>
            <family val="2"/>
          </rPr>
          <t>Use when</t>
        </r>
        <r>
          <rPr>
            <sz val="8"/>
            <color indexed="81"/>
            <rFont val="Tahoma"/>
            <family val="2"/>
          </rPr>
          <t xml:space="preserve"> changes in mean and errors </t>
        </r>
        <r>
          <rPr>
            <sz val="8"/>
            <color indexed="81"/>
            <rFont val="Tahoma"/>
            <family val="2"/>
          </rPr>
          <t>exceed ~50%.</t>
        </r>
      </text>
    </comment>
    <comment ref="K60" authorId="0" shapeId="0" xr:uid="{A301D4CC-6267-B940-98D8-D894BBBA28D4}">
      <text>
        <r>
          <rPr>
            <sz val="8"/>
            <color indexed="81"/>
            <rFont val="Tahoma"/>
            <family val="2"/>
          </rPr>
          <t>You should double the typical error before you interpret its magnitude, according to Smith TB, Hopkins WG (2011). Variability and predictability of finals times of elite rowers. Medicine and Science in Sports and Exercise 43, 2155-2160.</t>
        </r>
      </text>
    </comment>
    <comment ref="AC61" authorId="0" shapeId="0" xr:uid="{4C6B3787-FE62-9542-85E2-6B4C965CAFED}">
      <text>
        <r>
          <rPr>
            <sz val="8"/>
            <color indexed="81"/>
            <rFont val="Tahoma"/>
            <family val="2"/>
          </rPr>
          <t>You should double the typical error (here, square it) before you interpret its magnitude, according to Smith TB, Hopkins WG (2011). Variability and predictability of finals times of elite rowers. Medicine and Science in Sports and Exercise 43, 2155-2160.</t>
        </r>
      </text>
    </comment>
    <comment ref="K64" authorId="0" shapeId="0" xr:uid="{A045BA37-7285-7447-8916-763C93C626FE}">
      <text>
        <r>
          <rPr>
            <sz val="9"/>
            <color indexed="81"/>
            <rFont val="Tahoma"/>
            <family val="2"/>
          </rPr>
          <t>The standard deviation derived from a small sample is biased slightly low.  The correction factor used here comes from Gurland and Tripathi (1971).  It's probably better not to use this factor, because it is practically negligible for sample sizes of ~10 or more, and any statistical manipulations involving the SD should be done with the uncorrected SD or the variance (the square of the SD, which is not biased).
Gurland J, Tripathi RC (1971). A simple approximation for unbiased estimation of the standard deviation. American Statistician 25(4), 30-32</t>
        </r>
      </text>
    </comment>
    <comment ref="AC65" authorId="0" shapeId="0" xr:uid="{84357C46-BD16-6649-B812-F59EC293B535}">
      <text>
        <r>
          <rPr>
            <sz val="9"/>
            <color indexed="81"/>
            <rFont val="Tahoma"/>
            <family val="2"/>
          </rPr>
          <t>The standard deviation derived from a small sample is biased slightly low.  The correction factor used here comes from Gurland and Tripathi (1971).  It's probably better not to use this factor, because it is practically negligible for sample sizes of ~10 or more, and any statistical manipulations involving the SD should be done with the uncorrected SD or the variance (the square of the SD, which is not biased).
Gurland J, Tripathi RC (1971). A simple approximation for unbiased estimation of the standard deviation. American Statistician 25(4), 30-32</t>
        </r>
      </text>
    </comment>
    <comment ref="Q71" authorId="0" shapeId="0" xr:uid="{45F51AA9-B076-AF42-B53F-F01F84FA8D1B}">
      <text>
        <r>
          <rPr>
            <sz val="8"/>
            <color indexed="81"/>
            <rFont val="Tahoma"/>
            <family val="2"/>
          </rPr>
          <t>Adjusted for interdependence of consecutive statistics and for missing values.</t>
        </r>
      </text>
    </comment>
    <comment ref="J72" authorId="0" shapeId="0" xr:uid="{0BCADEEA-5D17-734F-9C8E-B98E8CCF508E}">
      <text>
        <r>
          <rPr>
            <sz val="8"/>
            <color indexed="81"/>
            <rFont val="Tahoma"/>
            <family val="2"/>
          </rPr>
          <t>The above change in mean, typical error and confidence limits are all divided by the "pure" between-subject SD (=sqrt(SD^2</t>
        </r>
        <r>
          <rPr>
            <sz val="8"/>
            <color indexed="81"/>
            <rFont val="Symbol"/>
            <family val="1"/>
            <charset val="2"/>
          </rPr>
          <t>-</t>
        </r>
        <r>
          <rPr>
            <sz val="8"/>
            <color indexed="81"/>
            <rFont val="Tahoma"/>
            <family val="2"/>
          </rPr>
          <t>sd^2), where SD is the mean SD for the trials included in the analysis (derived by averaging the variances, weighted by the degrees of freedom) and sd is the typical error. 
If the ICC is zero or negative, the standardized values are not calculated, because the pure SD is effectively zero.
I have not corrected the standardized values for the small amount of upward bias that arises from downware bias in the between-subject SD.  The correction factor for standardized effects is 1-3/(4*v-1), where v is the degrees of freedom for the SD.  Becker BJ (1988). Synthesizing standardized mean-change measures. British Journal of Mathematical and Statistical Psychology 41, 257-278.</t>
        </r>
      </text>
    </comment>
    <comment ref="AI72" authorId="0" shapeId="0" xr:uid="{642EABF4-6671-3C45-9EA0-389EFF94CF66}">
      <text>
        <r>
          <rPr>
            <sz val="8"/>
            <color indexed="81"/>
            <rFont val="Tahoma"/>
            <family val="2"/>
          </rPr>
          <t>Adjusted for interdependence of consecutive statistics and for missing values.</t>
        </r>
      </text>
    </comment>
    <comment ref="K73" authorId="0" shapeId="0" xr:uid="{1611B724-6C7C-3440-992D-D56C534FB8B0}">
      <text>
        <r>
          <rPr>
            <sz val="8"/>
            <color indexed="81"/>
            <rFont val="Tahoma"/>
            <family val="2"/>
          </rPr>
          <t xml:space="preserve">Thresholds for interpretation of the change in the mean are 0.2, 0.6, 1.2, 2.0, 4.0 for small, moderate, large, very large and extremely large. </t>
        </r>
      </text>
    </comment>
    <comment ref="AB73" authorId="0" shapeId="0" xr:uid="{030C7D8C-CB80-3A4B-BF49-FDD98CA1B489}">
      <text>
        <r>
          <rPr>
            <sz val="8"/>
            <color indexed="81"/>
            <rFont val="Tahoma"/>
            <family val="2"/>
          </rPr>
          <t>Use when changes in mean and errors are less than ~50%.</t>
        </r>
      </text>
    </comment>
    <comment ref="K77" authorId="0" shapeId="0" xr:uid="{F3A6FC61-2B95-BD41-BFE6-2127D3282D62}">
      <text>
        <r>
          <rPr>
            <sz val="8"/>
            <color indexed="81"/>
            <rFont val="Tahoma"/>
            <family val="2"/>
          </rPr>
          <t>The standardized typical error should be doubled to interpret its magnitude using the thresholds for interpretation of the change in the mean (0.2, 0.6, 1.2, 2.0, 4.0 for small, moderate, large, very large and extremely large. Reason: SDs need to be doubled before you interpret their magnitudes, according to Smith TB, Hopkins WG (2011). Variability and predictability of finals times of elite rowers. Medicine and Science in Sports and Exercise 43, 2155-2160.</t>
        </r>
      </text>
    </comment>
    <comment ref="AC78" authorId="0" shapeId="0" xr:uid="{3D663DAD-7BAB-984C-99D4-B957F64034BC}">
      <text>
        <r>
          <rPr>
            <sz val="8"/>
            <color indexed="81"/>
            <rFont val="Tahoma"/>
            <family val="2"/>
          </rPr>
          <t>You should double the typical error before you interpret its magnitude, according to Smith TB, Hopkins WG (2011). Variability and predictability of finals times of elite rowers. Medicine and Science in Sports and Exercise 43, 2155-2160. For percent errors &gt;20%, it's not a simple matter of doubling.  Instead, consider the factor typical error, which you have to square.</t>
        </r>
      </text>
    </comment>
    <comment ref="K81" authorId="0" shapeId="0" xr:uid="{C25C3526-2783-9847-8C2F-029F8D8B4747}">
      <text>
        <r>
          <rPr>
            <sz val="9"/>
            <color indexed="81"/>
            <rFont val="Tahoma"/>
            <family val="2"/>
          </rPr>
          <t>The standard deviation derived from a small sample is biased slightly low.  The correction factor used here comes from Gurland and Tripathi (1971).  It's probably better not to use this factor, because it is practically negligible for sample sizes of ~10 or more, and any statistical manipulations involving the SD should be done with the uncorrected SD or the variance (the square of the SD, which is not biased).
Gurland J, Tripathi RC (1971). A simple approximation for unbiased estimation of the standard deviation. American Statistician 25(4), 30-32</t>
        </r>
      </text>
    </comment>
    <comment ref="AC82" authorId="0" shapeId="0" xr:uid="{83779361-3152-E746-8CD1-9D6C99FFF046}">
      <text>
        <r>
          <rPr>
            <sz val="9"/>
            <color indexed="81"/>
            <rFont val="Tahoma"/>
            <family val="2"/>
          </rPr>
          <t>The standard deviation derived from a small sample is biased slightly low.  The correction factor used here comes from Gurland and Tripathi (1971).  It's probably better not to use this factor, because it is practically negligible for sample sizes of ~10 or more, and any statistical manipulations involving the SD should be done with the uncorrected SD or the variance (the square of the SD, which is not biased).
Gurland J, Tripathi RC (1971). A simple approximation for unbiased estimation of the standard deviation. American Statistician 25(4), 30-32</t>
        </r>
      </text>
    </comment>
    <comment ref="K83" authorId="1" shapeId="0" xr:uid="{861270B9-185E-BB4A-B4D7-B80EA2F2BCE4}">
      <text>
        <r>
          <rPr>
            <sz val="8"/>
            <color indexed="81"/>
            <rFont val="Tahoma"/>
            <family val="2"/>
          </rPr>
          <t>Corrected for small-sample bias using the factor shown three rows down.</t>
        </r>
      </text>
    </comment>
    <comment ref="Q83" authorId="1" shapeId="0" xr:uid="{C14C61C1-B17D-6342-9A17-EA9BC3A6B778}">
      <text>
        <r>
          <rPr>
            <sz val="8"/>
            <color indexed="81"/>
            <rFont val="Tahoma"/>
            <family val="2"/>
          </rPr>
          <t>Confidence limits for mean Pearson not available.</t>
        </r>
      </text>
    </comment>
    <comment ref="K86" authorId="0" shapeId="0" xr:uid="{6D1944B6-7C35-AF4C-BC3B-B1A8A101FB18}">
      <text>
        <r>
          <rPr>
            <sz val="8"/>
            <color indexed="81"/>
            <rFont val="Tahoma"/>
            <family val="2"/>
          </rPr>
          <t>The Pearson and intraclass correlation are biased low. The factor to correct the Pearson is 1 + (1-r^2)/(2(n-3)), where n is the sample size. Olkin, I., &amp; Pratt, J.W. (1958). Unbiased estimation of certain correlation coefficients. Annals of Mathematical Statistics, 29, 201-211.</t>
        </r>
      </text>
    </comment>
    <comment ref="K87" authorId="0" shapeId="0" xr:uid="{B34FACA2-8008-4F44-B780-DACC138E14F4}">
      <text>
        <r>
          <rPr>
            <sz val="8"/>
            <color indexed="81"/>
            <rFont val="Tahoma"/>
            <family val="2"/>
          </rPr>
          <t>=1-sd^2/SD^2, where sd is the typical error and SD is the mean between-subject standard deviation in the two trials (derived by weighting the variances by their degrees of freedom). Also corrected for small-sample bias using the same factor as for the Pearson. My simulations show that this factor does not quite correct the bias, but the remaining bias is negligible.</t>
        </r>
      </text>
    </comment>
    <comment ref="AB89" authorId="0" shapeId="0" xr:uid="{DD183717-2D17-E943-8258-0415BFC31750}">
      <text>
        <r>
          <rPr>
            <sz val="8"/>
            <color indexed="81"/>
            <rFont val="Tahoma"/>
            <family val="2"/>
          </rPr>
          <t>The above change in mean, typical error and confidence limits are all divided by the "pure" between-subject SD (=sqrt(SD^2</t>
        </r>
        <r>
          <rPr>
            <sz val="8"/>
            <color indexed="81"/>
            <rFont val="Symbol"/>
            <family val="1"/>
            <charset val="2"/>
          </rPr>
          <t>-</t>
        </r>
        <r>
          <rPr>
            <sz val="8"/>
            <color indexed="81"/>
            <rFont val="Tahoma"/>
            <family val="2"/>
          </rPr>
          <t>sd^2), where SD is the mean SD for the trials included in the analysis (derived by averaging the variances, weighted by the degrees of freedom) and sd is the typical error. 
These calculations are done with log-transformed values.  Back-transformation is not an issue.
If the ICC is zero or negative, the standardized values are not calculated, because the pure SD is effectively zero.
I have not corrected the standardized values for the small amount of upward bias that arises from downware bias in the between-subject SD.  The correction factor for standardized effects is 1-3/(4*v-1), where v is the degrees of freedom for the SD.  Becker BJ (1988). Synthesizing standardized mean-change measures. British Journal of Mathematical and Statistical Psychology 41, 257-278.</t>
        </r>
      </text>
    </comment>
    <comment ref="AC90" authorId="0" shapeId="0" xr:uid="{ACDB030B-1FB0-424D-A930-AC06D21E56AF}">
      <text>
        <r>
          <rPr>
            <sz val="8"/>
            <color indexed="81"/>
            <rFont val="Tahoma"/>
            <family val="2"/>
          </rPr>
          <t xml:space="preserve">Thresholds for interpretation of the change in the mean are 0.2, 0.6, 1.2, 2.0, 4.0 for small, moderate, large, very large and extremely large. </t>
        </r>
      </text>
    </comment>
    <comment ref="AC94" authorId="0" shapeId="0" xr:uid="{625C7AD2-CF16-0144-8975-A648B98E4D27}">
      <text>
        <r>
          <rPr>
            <sz val="8"/>
            <color indexed="81"/>
            <rFont val="Tahoma"/>
            <family val="2"/>
          </rPr>
          <t>The standardized typical error should be doubled to interpret its magnitude using the thresholds for interpretation of the change in the mean (0.2, 0.6, 1.2, 2.0, 4.0 for small, moderate, large, very large and extremely large. Reason: SDs need to be doubled before you interpret their magnitudes, according to Smith TB, Hopkins WG (2011). Variability and predictability of finals times of elite rowers. Medicine and Science in Sports and Exercise 43, 2155-2160.</t>
        </r>
      </text>
    </comment>
    <comment ref="AC98" authorId="0" shapeId="0" xr:uid="{A1B90B00-08D8-0D42-BDF0-B182C9122683}">
      <text>
        <r>
          <rPr>
            <sz val="9"/>
            <color indexed="81"/>
            <rFont val="Tahoma"/>
            <family val="2"/>
          </rPr>
          <t>The standard deviation derived from a small sample is biased slightly low.  The correction factor used here comes from Gurland and Tripathi (1971).  It's probably better not to use this factor, because it is practically negligible for sample sizes of ~10 or more, and any statistical manipulations involving the SD should be done with the uncorrected SD or the variance (the square of the SD, which is not biased).
Gurland J, Tripathi RC (1971). A simple approximation for unbiased estimation of the standard deviation. American Statistician 25(4), 30-32</t>
        </r>
      </text>
    </comment>
    <comment ref="AC100" authorId="0" shapeId="0" xr:uid="{C2748B08-899E-3746-9CA3-842E658AB022}">
      <text>
        <r>
          <rPr>
            <sz val="8"/>
            <color indexed="81"/>
            <rFont val="Tahoma"/>
            <family val="2"/>
          </rPr>
          <t>Corrected for small-sample bias using the factor shown three rows down.
The calculations are done with log-transformed values.  Back-transformation is not an issue.</t>
        </r>
      </text>
    </comment>
    <comment ref="AI100" authorId="1" shapeId="0" xr:uid="{FE2CACE0-8CC5-684D-B87C-ABFC037F7BE1}">
      <text>
        <r>
          <rPr>
            <sz val="8"/>
            <color indexed="81"/>
            <rFont val="Tahoma"/>
            <family val="2"/>
          </rPr>
          <t>Confidence limits for mean Pearson not available.</t>
        </r>
      </text>
    </comment>
    <comment ref="AC103" authorId="0" shapeId="0" xr:uid="{E46752D5-9803-D148-BF13-8EB48DF812F9}">
      <text>
        <r>
          <rPr>
            <sz val="8"/>
            <color indexed="81"/>
            <rFont val="Tahoma"/>
            <family val="2"/>
          </rPr>
          <t>The Pearson and intraclass correlation are biased low. The factor to correct the Pearson is 1 + (1-r^2)/(2(n-3)), where n is the sample size. Olkin, I., &amp; Pratt, J.W. (1958). Unbiased estimation of certain correlation coefficients. Annals of Mathematical Statistics, 29, 201-211.</t>
        </r>
      </text>
    </comment>
    <comment ref="AC104" authorId="0" shapeId="0" xr:uid="{CE66DB02-2821-4945-BD2E-57B8D44838A3}">
      <text>
        <r>
          <rPr>
            <sz val="8"/>
            <color indexed="81"/>
            <rFont val="Tahoma"/>
            <family val="2"/>
          </rPr>
          <t>=1-sd^2/SD^2, where sd is the typical error and SD is the mean between-subject standard deviation in the two trials (derived by weighting the variances by their degrees of freedom). Also corrected for small-sample bias using the same factor as for the Pearson. My simulations show that this factor does not quite correct the bias, but the remaining bias is negligible.
These calculations are done with log-transformed values.  Back-transformation is not an issue.</t>
        </r>
      </text>
    </comment>
  </commentList>
</comments>
</file>

<file path=xl/sharedStrings.xml><?xml version="1.0" encoding="utf-8"?>
<sst xmlns="http://schemas.openxmlformats.org/spreadsheetml/2006/main" count="814" uniqueCount="134">
  <si>
    <t>CV</t>
  </si>
  <si>
    <t>SD</t>
  </si>
  <si>
    <t>CONSECUTIVE PAIRWISE ANALYSIS OF TRIALS FOR RELIABILITY</t>
  </si>
  <si>
    <t>Hover cursor for citation:</t>
  </si>
  <si>
    <t>Hover cursor for updates:</t>
  </si>
  <si>
    <t xml:space="preserve">This spreadsheet calculates reliability statistics for consecutive pairs of trials and for the means of these statistics when there are &gt;2 trials.  </t>
  </si>
  <si>
    <t xml:space="preserve">    For trials spaced at equal intervals, these means are better estimates of test-retest reliability than the more usual ANOVA-based reliablity statistics.</t>
  </si>
  <si>
    <t xml:space="preserve">   But see the 1-way and 2-way spreadsheets in this workbook for such analyses.</t>
  </si>
  <si>
    <t>The reliability statistics are calculated for raw data and after log transformation.</t>
  </si>
  <si>
    <t xml:space="preserve">    I generated the data shown with http://www.sportsci.org/2007/SimulateSamples.xls.  See the accompanying article at http://www.sportsci.org/2007/wghstats.htm.</t>
  </si>
  <si>
    <t xml:space="preserve">    I deliberately chose data with large errors that are clearly better analyzed via log transformation to give percent or factor effects and errors.</t>
  </si>
  <si>
    <t xml:space="preserve">    Unless your data are times to exhaustion or gene transcription scores, they won't be so obviously in need of log transformaiton, but log transformaiton may still be better.</t>
  </si>
  <si>
    <r>
      <t>Delete and replace</t>
    </r>
    <r>
      <rPr>
        <sz val="10"/>
        <rFont val="Arial"/>
        <family val="2"/>
      </rPr>
      <t xml:space="preserve"> the numbers in </t>
    </r>
    <r>
      <rPr>
        <b/>
        <sz val="10"/>
        <color indexed="12"/>
        <rFont val="Arial"/>
        <family val="2"/>
      </rPr>
      <t>blue.</t>
    </r>
    <r>
      <rPr>
        <sz val="10"/>
        <rFont val="Arial"/>
        <family val="2"/>
      </rPr>
      <t xml:space="preserve"> Stats you might want are in </t>
    </r>
    <r>
      <rPr>
        <b/>
        <sz val="10"/>
        <color indexed="10"/>
        <rFont val="Arial"/>
        <family val="2"/>
      </rPr>
      <t xml:space="preserve">red. </t>
    </r>
    <r>
      <rPr>
        <sz val="10"/>
        <rFont val="Arial"/>
        <family val="2"/>
      </rPr>
      <t xml:space="preserve">Don't change any cells with a colored background. </t>
    </r>
  </si>
  <si>
    <r>
      <t>Missing values must be blanks</t>
    </r>
    <r>
      <rPr>
        <sz val="10"/>
        <rFont val="Arial"/>
        <family val="2"/>
      </rPr>
      <t xml:space="preserve"> or the graphs will display incorrectly. (The X values will plot as consecutive integers.)</t>
    </r>
  </si>
  <si>
    <r>
      <t xml:space="preserve">Clear all the #NUM! </t>
    </r>
    <r>
      <rPr>
        <sz val="10"/>
        <rFont val="Arial"/>
        <family val="2"/>
      </rPr>
      <t>corresponding to missing raw values from the log-transformed panel. Restore the formula (by copying an adjacent cell) if you restore a missing value or for new data.</t>
    </r>
  </si>
  <si>
    <r>
      <t xml:space="preserve">Check the graphs </t>
    </r>
    <r>
      <rPr>
        <sz val="10"/>
        <rFont val="Arial"/>
        <family val="2"/>
      </rPr>
      <t>(especially of the change scores) for outliers and non-uniformity of scatter. The log-transformed variables may show less non-uniformity, as evident in these data.</t>
    </r>
  </si>
  <si>
    <r>
      <t>For more than 20 subjects</t>
    </r>
    <r>
      <rPr>
        <sz val="10"/>
        <rFont val="Arial"/>
        <family val="2"/>
      </rPr>
      <t>, COPY any number of rows after the first data row and INSERT in the same place without deselecting.</t>
    </r>
    <r>
      <rPr>
        <b/>
        <sz val="10"/>
        <rFont val="Arial"/>
        <family val="2"/>
      </rPr>
      <t xml:space="preserve"> </t>
    </r>
  </si>
  <si>
    <t xml:space="preserve">    Do NOT copy and insert the first data row.  </t>
  </si>
  <si>
    <t>Use analysis of RAW data in one or more of the following situations:</t>
  </si>
  <si>
    <t>Use LOG transformation in one or more of the following situations:</t>
  </si>
  <si>
    <r>
      <t xml:space="preserve">    Double-click on any of the </t>
    </r>
    <r>
      <rPr>
        <sz val="10"/>
        <color indexed="10"/>
        <rFont val="Arial"/>
        <family val="2"/>
      </rPr>
      <t>red</t>
    </r>
    <r>
      <rPr>
        <sz val="10"/>
        <rFont val="Arial"/>
        <family val="2"/>
      </rPr>
      <t xml:space="preserve"> mean or SD cells to check that you have done this operation properly. </t>
    </r>
  </si>
  <si>
    <t xml:space="preserve">   the data can be zero or negative;</t>
  </si>
  <si>
    <t xml:space="preserve">   the data can only be positive and non-zero;</t>
  </si>
  <si>
    <t xml:space="preserve">    Colored boxes should enclose all rows of your data.</t>
  </si>
  <si>
    <t xml:space="preserve">   the data were measured from an arbitrary reference value;</t>
  </si>
  <si>
    <t xml:space="preserve">   the within-subject, between-subject or between-trial SD is more than ~20% of the mean;</t>
  </si>
  <si>
    <r>
      <rPr>
        <b/>
        <sz val="10"/>
        <rFont val="Arial"/>
        <family val="2"/>
      </rPr>
      <t>For less than 20 subjects</t>
    </r>
    <r>
      <rPr>
        <sz val="10"/>
        <rFont val="Arial"/>
        <family val="2"/>
      </rPr>
      <t>, delete or clear any unwanted or empty rows.</t>
    </r>
  </si>
  <si>
    <t xml:space="preserve">   the magnitude of the error is expected to be similar for all subjects.</t>
  </si>
  <si>
    <t xml:space="preserve">   the magnitude of the percent or factor error is expected to be similar for all subjects.</t>
  </si>
  <si>
    <r>
      <t>To remove a trial</t>
    </r>
    <r>
      <rPr>
        <sz val="10"/>
        <rFont val="Arial"/>
        <family val="2"/>
      </rPr>
      <t>, clear its data, or set the corrresponding "Include which trials?" cell to 0 or blank.</t>
    </r>
  </si>
  <si>
    <r>
      <t>For more than 6 trials</t>
    </r>
    <r>
      <rPr>
        <sz val="10"/>
        <rFont val="Arial"/>
        <family val="2"/>
      </rPr>
      <t xml:space="preserve">, copy and insert the entire column(s) for Trials 5 and/or 6 and their change scores for the RAW and the LOG data. </t>
    </r>
  </si>
  <si>
    <r>
      <t xml:space="preserve">Missing values produce </t>
    </r>
    <r>
      <rPr>
        <b/>
        <sz val="10"/>
        <rFont val="Arial"/>
        <family val="2"/>
      </rPr>
      <t>delete</t>
    </r>
    <r>
      <rPr>
        <sz val="10"/>
        <rFont val="Arial"/>
        <family val="2"/>
      </rPr>
      <t xml:space="preserve"> in the panel of change scores.</t>
    </r>
  </si>
  <si>
    <r>
      <t xml:space="preserve">Missing values produce </t>
    </r>
    <r>
      <rPr>
        <b/>
        <sz val="10"/>
        <rFont val="Arial"/>
        <family val="2"/>
      </rPr>
      <t>#NUM!</t>
    </r>
    <r>
      <rPr>
        <sz val="10"/>
        <rFont val="Arial"/>
        <family val="2"/>
      </rPr>
      <t xml:space="preserve"> in the panel of log-transformed data.</t>
    </r>
  </si>
  <si>
    <t xml:space="preserve">    And follow the instructions in the cells indicated by "Hover cursor for &gt;6 trials". If such editing is too difficult for you, contact me. </t>
  </si>
  <si>
    <r>
      <t xml:space="preserve">Clear </t>
    </r>
    <r>
      <rPr>
        <b/>
        <sz val="10"/>
        <rFont val="Arial"/>
        <family val="2"/>
      </rPr>
      <t>delete</t>
    </r>
    <r>
      <rPr>
        <sz val="10"/>
        <rFont val="Arial"/>
        <family val="2"/>
      </rPr>
      <t xml:space="preserve"> from these cells to stop them plotting as zeros.</t>
    </r>
  </si>
  <si>
    <r>
      <t xml:space="preserve">Clear </t>
    </r>
    <r>
      <rPr>
        <b/>
        <sz val="10"/>
        <rFont val="Arial"/>
        <family val="2"/>
      </rPr>
      <t>#NUM!</t>
    </r>
    <r>
      <rPr>
        <sz val="10"/>
        <rFont val="Arial"/>
        <family val="2"/>
      </rPr>
      <t xml:space="preserve"> from these cells to get complete analyses.</t>
    </r>
  </si>
  <si>
    <t>Copy-paste or -drag to restore formulae to those cells if you enter new data.</t>
  </si>
  <si>
    <t>Choose smallest effect:</t>
  </si>
  <si>
    <t>Choose conf. limits (%):</t>
  </si>
  <si>
    <t>Hover cursor for &gt;6 trials:</t>
  </si>
  <si>
    <t>Read</t>
  </si>
  <si>
    <t>me</t>
  </si>
  <si>
    <t>Read me</t>
  </si>
  <si>
    <t>Do not</t>
  </si>
  <si>
    <t>RAW Data</t>
  </si>
  <si>
    <t>Change scores of raw data</t>
  </si>
  <si>
    <t>modify</t>
  </si>
  <si>
    <t>Any</t>
  </si>
  <si>
    <t>100*LOG-Transformed Data</t>
  </si>
  <si>
    <t>Change scores of Log-transformed data</t>
  </si>
  <si>
    <t>Trial:</t>
  </si>
  <si>
    <t>Mean</t>
  </si>
  <si>
    <t>this col.</t>
  </si>
  <si>
    <t>subject?</t>
  </si>
  <si>
    <t>S02</t>
  </si>
  <si>
    <t>S05</t>
  </si>
  <si>
    <t>S07</t>
  </si>
  <si>
    <t>S08</t>
  </si>
  <si>
    <t>S09</t>
  </si>
  <si>
    <t>S10</t>
  </si>
  <si>
    <t>S12</t>
  </si>
  <si>
    <t>S14</t>
  </si>
  <si>
    <t>S15</t>
  </si>
  <si>
    <t>S16</t>
  </si>
  <si>
    <t>S17</t>
  </si>
  <si>
    <t>S20</t>
  </si>
  <si>
    <t>S22</t>
  </si>
  <si>
    <t>S23</t>
  </si>
  <si>
    <t>S24</t>
  </si>
  <si>
    <t>S25</t>
  </si>
  <si>
    <t>Mean of change</t>
  </si>
  <si>
    <t>SD of change</t>
  </si>
  <si>
    <t>Total no. of subjects</t>
  </si>
  <si>
    <t>N</t>
  </si>
  <si>
    <t>Include which trials?</t>
  </si>
  <si>
    <t>DF</t>
  </si>
  <si>
    <t>Factor change in mean</t>
  </si>
  <si>
    <t>Back-transformed mean</t>
  </si>
  <si>
    <t>SD of change as a factor</t>
  </si>
  <si>
    <t>SD as a ×/÷ factor</t>
  </si>
  <si>
    <t>Change in mean (%)</t>
  </si>
  <si>
    <t>For your data, you may have to set max and min values of X and Y axes to appropriate values.</t>
  </si>
  <si>
    <t>SD as a CV (%)</t>
  </si>
  <si>
    <t>SD of change as CV (%)</t>
  </si>
  <si>
    <t>Measures of reliability via the RAW variable</t>
  </si>
  <si>
    <t>Raw</t>
  </si>
  <si>
    <t>Trials</t>
  </si>
  <si>
    <t>Measures of reliability via the LOG-TRANSFORMED variable</t>
  </si>
  <si>
    <t>P-Value</t>
  </si>
  <si>
    <t>Change in mean</t>
  </si>
  <si>
    <t>Clear #NUM! and "delete" from the log-transformed cells to stop them plotting as zeros.</t>
  </si>
  <si>
    <t>Factors</t>
  </si>
  <si>
    <t>Lower conf. limit</t>
  </si>
  <si>
    <t xml:space="preserve"> </t>
  </si>
  <si>
    <t>Restore the log-transformation formula to those cells if you enter new data.</t>
  </si>
  <si>
    <t>Upper conf. limit</t>
  </si>
  <si>
    <t>Conf. limits as ±value</t>
  </si>
  <si>
    <t>Typical error</t>
  </si>
  <si>
    <t>Conf. limits as ×/÷factor</t>
  </si>
  <si>
    <t>Factor typical error</t>
  </si>
  <si>
    <t>Conf. limits as approx. ×/÷factor</t>
  </si>
  <si>
    <t>ES</t>
  </si>
  <si>
    <t>Bias correction factor</t>
  </si>
  <si>
    <r>
      <t xml:space="preserve">Smallest effect from </t>
    </r>
    <r>
      <rPr>
        <b/>
        <i/>
        <sz val="10"/>
        <rFont val="Arial"/>
        <family val="2"/>
      </rPr>
      <t>pure</t>
    </r>
    <r>
      <rPr>
        <b/>
        <sz val="10"/>
        <rFont val="Arial"/>
        <family val="2"/>
      </rPr>
      <t xml:space="preserve"> SD</t>
    </r>
  </si>
  <si>
    <t>BS-SD</t>
  </si>
  <si>
    <r>
      <t xml:space="preserve">Smallest effect from </t>
    </r>
    <r>
      <rPr>
        <b/>
        <i/>
        <sz val="10"/>
        <rFont val="Arial"/>
        <family val="2"/>
      </rPr>
      <t>observed</t>
    </r>
    <r>
      <rPr>
        <b/>
        <sz val="10"/>
        <rFont val="Arial"/>
        <family val="2"/>
      </rPr>
      <t xml:space="preserve"> SD</t>
    </r>
  </si>
  <si>
    <t>Degrees of freedom</t>
  </si>
  <si>
    <t>Standardized (when ICC&gt;0)</t>
  </si>
  <si>
    <t>Percents</t>
  </si>
  <si>
    <t>Conf. limits as approx. ±value</t>
  </si>
  <si>
    <t>Typical error as a CV (%)</t>
  </si>
  <si>
    <t>Correlations</t>
  </si>
  <si>
    <t>Pearson correlation</t>
  </si>
  <si>
    <t>Intraclass correlation (ICC)</t>
  </si>
  <si>
    <t>Effective no. of trials</t>
  </si>
  <si>
    <t>F</t>
  </si>
  <si>
    <t>Numerator DF</t>
  </si>
  <si>
    <t>Denominator DF</t>
  </si>
  <si>
    <t>F lower</t>
  </si>
  <si>
    <t>F upper</t>
  </si>
  <si>
    <t>Fisher r</t>
  </si>
  <si>
    <t>Fisher SE^-2</t>
  </si>
  <si>
    <t>Pure variance</t>
  </si>
  <si>
    <t>SE of pure variance</t>
  </si>
  <si>
    <t>LCL</t>
  </si>
  <si>
    <t>UCL</t>
  </si>
  <si>
    <t>Intraclass correlation</t>
  </si>
  <si>
    <t>Measures of reliability of log-transformed variable</t>
  </si>
  <si>
    <t>Smallest effect from pure SD</t>
  </si>
  <si>
    <t>Smallest effect from observed SD</t>
  </si>
  <si>
    <t>Stdized change in mean</t>
  </si>
  <si>
    <t>Stdized typical error</t>
  </si>
  <si>
    <t>Pearson r</t>
  </si>
  <si>
    <t>Intraclass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</si>
</sst>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34" x14ac:knownFonts="1">
    <font>
      <sz val="11"/>
      <color theme="1"/>
      <name val="Calibri"/>
      <family val="2"/>
      <scheme val="minor"/>
    </font>
    <font>
      <sz val="12"/>
      <color theme="1"/>
      <name val="Calibri"/>
      <family val="2"/>
      <scheme val="minor"/>
    </font>
    <font>
      <sz val="10"/>
      <name val="Arial"/>
      <family val="2"/>
    </font>
    <font>
      <b/>
      <sz val="11"/>
      <name val="Arial"/>
      <family val="2"/>
    </font>
    <font>
      <b/>
      <sz val="10"/>
      <name val="Arial"/>
      <family val="2"/>
    </font>
    <font>
      <b/>
      <sz val="10"/>
      <color indexed="12"/>
      <name val="Arial"/>
      <family val="2"/>
    </font>
    <font>
      <b/>
      <sz val="10"/>
      <color indexed="10"/>
      <name val="Arial"/>
      <family val="2"/>
    </font>
    <font>
      <sz val="10"/>
      <color indexed="10"/>
      <name val="Arial"/>
      <family val="2"/>
    </font>
    <font>
      <b/>
      <sz val="11"/>
      <color indexed="12"/>
      <name val="Arial"/>
      <family val="2"/>
    </font>
    <font>
      <sz val="11"/>
      <name val="Arial"/>
      <family val="2"/>
    </font>
    <font>
      <sz val="11"/>
      <color indexed="23"/>
      <name val="Arial"/>
      <family val="2"/>
    </font>
    <font>
      <sz val="11"/>
      <color indexed="55"/>
      <name val="Arial"/>
      <family val="2"/>
    </font>
    <font>
      <sz val="10"/>
      <color indexed="23"/>
      <name val="Arial"/>
      <family val="2"/>
    </font>
    <font>
      <sz val="10"/>
      <color indexed="12"/>
      <name val="Arial"/>
      <family val="2"/>
    </font>
    <font>
      <sz val="10"/>
      <color indexed="55"/>
      <name val="Arial"/>
      <family val="2"/>
    </font>
    <font>
      <sz val="10"/>
      <color indexed="61"/>
      <name val="Arial"/>
      <family val="2"/>
    </font>
    <font>
      <b/>
      <sz val="10"/>
      <color indexed="61"/>
      <name val="Arial"/>
      <family val="2"/>
    </font>
    <font>
      <sz val="10"/>
      <color indexed="17"/>
      <name val="Arial"/>
      <family val="2"/>
    </font>
    <font>
      <b/>
      <sz val="12"/>
      <name val="Arial"/>
      <family val="2"/>
    </font>
    <font>
      <b/>
      <sz val="10"/>
      <color indexed="63"/>
      <name val="Arial"/>
      <family val="2"/>
    </font>
    <font>
      <sz val="10"/>
      <color indexed="63"/>
      <name val="Arial"/>
      <family val="2"/>
    </font>
    <font>
      <b/>
      <sz val="10"/>
      <color indexed="16"/>
      <name val="Arial"/>
      <family val="2"/>
    </font>
    <font>
      <sz val="10"/>
      <color indexed="16"/>
      <name val="Arial"/>
      <family val="2"/>
    </font>
    <font>
      <b/>
      <sz val="10"/>
      <color indexed="23"/>
      <name val="Arial"/>
      <family val="2"/>
    </font>
    <font>
      <b/>
      <i/>
      <sz val="10"/>
      <name val="Arial"/>
      <family val="2"/>
    </font>
    <font>
      <b/>
      <sz val="10"/>
      <color indexed="55"/>
      <name val="Arial"/>
      <family val="2"/>
    </font>
    <font>
      <sz val="10"/>
      <color rgb="FF808080"/>
      <name val="Arial"/>
      <family val="2"/>
    </font>
    <font>
      <b/>
      <sz val="10"/>
      <color rgb="FF808080"/>
      <name val="Arial"/>
      <family val="2"/>
    </font>
    <font>
      <b/>
      <sz val="11"/>
      <color indexed="23"/>
      <name val="Arial"/>
      <family val="2"/>
    </font>
    <font>
      <sz val="8"/>
      <color indexed="81"/>
      <name val="Tahoma"/>
      <family val="2"/>
    </font>
    <font>
      <sz val="9"/>
      <color indexed="81"/>
      <name val="Tahoma"/>
      <family val="2"/>
    </font>
    <font>
      <sz val="8"/>
      <color indexed="81"/>
      <name val="Symbol"/>
      <family val="1"/>
      <charset val="2"/>
    </font>
    <font>
      <sz val="8"/>
      <color rgb="FF000000"/>
      <name val="Tahoma"/>
      <family val="2"/>
    </font>
    <font>
      <sz val="11"/>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indexed="43"/>
        <bgColor indexed="64"/>
      </patternFill>
    </fill>
    <fill>
      <patternFill patternType="solid">
        <fgColor rgb="FFFFFF99"/>
        <bgColor indexed="64"/>
      </patternFill>
    </fill>
    <fill>
      <patternFill patternType="solid">
        <fgColor indexed="42"/>
        <bgColor indexed="64"/>
      </patternFill>
    </fill>
    <fill>
      <patternFill patternType="solid">
        <fgColor indexed="13"/>
        <bgColor indexed="64"/>
      </patternFill>
    </fill>
    <fill>
      <patternFill patternType="solid">
        <fgColor indexed="11"/>
        <bgColor indexed="64"/>
      </patternFill>
    </fill>
    <fill>
      <patternFill patternType="solid">
        <fgColor rgb="FFCCFFCC"/>
        <bgColor indexed="64"/>
      </patternFill>
    </fill>
  </fills>
  <borders count="1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s>
  <cellStyleXfs count="2">
    <xf numFmtId="0" fontId="0" fillId="0" borderId="0"/>
    <xf numFmtId="0" fontId="2" fillId="0" borderId="0"/>
  </cellStyleXfs>
  <cellXfs count="260">
    <xf numFmtId="0" fontId="0" fillId="0" borderId="0" xfId="0"/>
    <xf numFmtId="0" fontId="3" fillId="0" borderId="1" xfId="1" applyFont="1" applyBorder="1"/>
    <xf numFmtId="0" fontId="2" fillId="0" borderId="1" xfId="1" applyBorder="1"/>
    <xf numFmtId="0" fontId="4" fillId="0" borderId="0" xfId="1" applyFont="1"/>
    <xf numFmtId="0" fontId="2" fillId="0" borderId="0" xfId="1"/>
    <xf numFmtId="0" fontId="4" fillId="0" borderId="0" xfId="1" applyFont="1" applyAlignment="1">
      <alignment horizontal="left"/>
    </xf>
    <xf numFmtId="0" fontId="2" fillId="0" borderId="0" xfId="1" applyAlignment="1">
      <alignment horizontal="left"/>
    </xf>
    <xf numFmtId="0" fontId="2" fillId="3" borderId="0" xfId="1" applyFill="1"/>
    <xf numFmtId="0" fontId="2" fillId="4" borderId="0" xfId="1" applyFill="1"/>
    <xf numFmtId="0" fontId="2" fillId="5" borderId="0" xfId="1" applyFill="1"/>
    <xf numFmtId="0" fontId="2" fillId="3" borderId="2" xfId="1" applyFill="1" applyBorder="1"/>
    <xf numFmtId="165" fontId="3" fillId="3" borderId="3" xfId="1" applyNumberFormat="1" applyFont="1" applyFill="1" applyBorder="1" applyAlignment="1">
      <alignment horizontal="right"/>
    </xf>
    <xf numFmtId="0" fontId="8" fillId="0" borderId="3" xfId="1" applyFont="1" applyBorder="1" applyAlignment="1">
      <alignment horizontal="left"/>
    </xf>
    <xf numFmtId="0" fontId="2" fillId="3" borderId="0" xfId="1" applyFill="1" applyAlignment="1">
      <alignment horizontal="right"/>
    </xf>
    <xf numFmtId="0" fontId="9" fillId="6" borderId="0" xfId="1" applyFont="1" applyFill="1" applyAlignment="1">
      <alignment horizontal="right"/>
    </xf>
    <xf numFmtId="0" fontId="9" fillId="6" borderId="0" xfId="1" applyFont="1" applyFill="1" applyAlignment="1">
      <alignment horizontal="left"/>
    </xf>
    <xf numFmtId="0" fontId="2" fillId="6" borderId="0" xfId="1" applyFill="1" applyAlignment="1">
      <alignment horizontal="center"/>
    </xf>
    <xf numFmtId="0" fontId="2" fillId="3" borderId="0" xfId="1" applyFill="1" applyAlignment="1">
      <alignment horizontal="center"/>
    </xf>
    <xf numFmtId="0" fontId="2" fillId="5" borderId="0" xfId="1" applyFill="1" applyAlignment="1">
      <alignment horizontal="right"/>
    </xf>
    <xf numFmtId="0" fontId="2" fillId="7" borderId="0" xfId="1" applyFill="1" applyAlignment="1">
      <alignment horizontal="center"/>
    </xf>
    <xf numFmtId="0" fontId="9" fillId="7" borderId="0" xfId="1" applyFont="1" applyFill="1" applyAlignment="1">
      <alignment horizontal="right"/>
    </xf>
    <xf numFmtId="0" fontId="9" fillId="7" borderId="0" xfId="1" applyFont="1" applyFill="1" applyAlignment="1">
      <alignment horizontal="left"/>
    </xf>
    <xf numFmtId="0" fontId="2" fillId="5" borderId="0" xfId="1" applyFill="1" applyAlignment="1">
      <alignment horizontal="center"/>
    </xf>
    <xf numFmtId="0" fontId="9" fillId="3" borderId="0" xfId="1" applyFont="1" applyFill="1"/>
    <xf numFmtId="0" fontId="3" fillId="3" borderId="1" xfId="1" applyFont="1" applyFill="1" applyBorder="1" applyAlignment="1">
      <alignment horizontal="left"/>
    </xf>
    <xf numFmtId="0" fontId="3" fillId="3" borderId="1" xfId="1" applyFont="1" applyFill="1" applyBorder="1"/>
    <xf numFmtId="0" fontId="9" fillId="3" borderId="1" xfId="1" applyFont="1" applyFill="1" applyBorder="1"/>
    <xf numFmtId="0" fontId="9" fillId="3" borderId="0" xfId="1" applyFont="1" applyFill="1" applyAlignment="1">
      <alignment horizontal="left"/>
    </xf>
    <xf numFmtId="0" fontId="10" fillId="3" borderId="0" xfId="1" applyFont="1" applyFill="1" applyAlignment="1">
      <alignment horizontal="center"/>
    </xf>
    <xf numFmtId="0" fontId="11" fillId="5" borderId="0" xfId="1" applyFont="1" applyFill="1" applyAlignment="1">
      <alignment horizontal="center"/>
    </xf>
    <xf numFmtId="0" fontId="9" fillId="5" borderId="0" xfId="1" applyFont="1" applyFill="1"/>
    <xf numFmtId="0" fontId="3" fillId="5" borderId="0" xfId="1" applyFont="1" applyFill="1" applyAlignment="1">
      <alignment horizontal="left"/>
    </xf>
    <xf numFmtId="0" fontId="9" fillId="5" borderId="0" xfId="1" applyFont="1" applyFill="1" applyAlignment="1">
      <alignment horizontal="left"/>
    </xf>
    <xf numFmtId="0" fontId="10" fillId="5" borderId="0" xfId="1" applyFont="1" applyFill="1" applyAlignment="1">
      <alignment horizontal="center"/>
    </xf>
    <xf numFmtId="0" fontId="9" fillId="0" borderId="0" xfId="1" applyFont="1"/>
    <xf numFmtId="0" fontId="9" fillId="3" borderId="0" xfId="1" applyFont="1" applyFill="1" applyAlignment="1">
      <alignment horizontal="right"/>
    </xf>
    <xf numFmtId="0" fontId="3" fillId="3" borderId="2" xfId="1" applyFont="1" applyFill="1" applyBorder="1" applyAlignment="1">
      <alignment horizontal="right"/>
    </xf>
    <xf numFmtId="0" fontId="8" fillId="0" borderId="4" xfId="1" applyFont="1" applyBorder="1" applyAlignment="1">
      <alignment horizontal="center"/>
    </xf>
    <xf numFmtId="0" fontId="3" fillId="3" borderId="3" xfId="1" applyFont="1" applyFill="1" applyBorder="1" applyAlignment="1">
      <alignment horizontal="center"/>
    </xf>
    <xf numFmtId="0" fontId="9" fillId="3" borderId="1" xfId="1" applyFont="1" applyFill="1" applyBorder="1" applyAlignment="1">
      <alignment horizontal="center"/>
    </xf>
    <xf numFmtId="0" fontId="9" fillId="5" borderId="0" xfId="1" applyFont="1" applyFill="1" applyAlignment="1">
      <alignment horizontal="right"/>
    </xf>
    <xf numFmtId="0" fontId="9" fillId="5" borderId="1" xfId="1" applyFont="1" applyFill="1" applyBorder="1" applyAlignment="1">
      <alignment horizontal="center"/>
    </xf>
    <xf numFmtId="0" fontId="9" fillId="5" borderId="0" xfId="1" applyFont="1" applyFill="1" applyAlignment="1">
      <alignment horizontal="center"/>
    </xf>
    <xf numFmtId="0" fontId="12" fillId="5" borderId="0" xfId="1" applyFont="1" applyFill="1" applyAlignment="1">
      <alignment horizontal="center"/>
    </xf>
    <xf numFmtId="0" fontId="9" fillId="0" borderId="0" xfId="1" applyFont="1" applyAlignment="1">
      <alignment horizontal="right"/>
    </xf>
    <xf numFmtId="0" fontId="13" fillId="0" borderId="0" xfId="1" applyFont="1" applyAlignment="1">
      <alignment horizontal="center"/>
    </xf>
    <xf numFmtId="0" fontId="2" fillId="3" borderId="6" xfId="1" applyFill="1" applyBorder="1"/>
    <xf numFmtId="0" fontId="12" fillId="3" borderId="0" xfId="1" applyFont="1" applyFill="1" applyAlignment="1">
      <alignment horizontal="center"/>
    </xf>
    <xf numFmtId="0" fontId="14" fillId="5" borderId="0" xfId="1" applyFont="1" applyFill="1" applyAlignment="1">
      <alignment horizontal="center"/>
    </xf>
    <xf numFmtId="165" fontId="15" fillId="0" borderId="0" xfId="1" applyNumberFormat="1" applyFont="1" applyAlignment="1">
      <alignment horizontal="center"/>
    </xf>
    <xf numFmtId="0" fontId="2" fillId="0" borderId="0" xfId="1" applyAlignment="1">
      <alignment horizontal="center"/>
    </xf>
    <xf numFmtId="0" fontId="2" fillId="3" borderId="7" xfId="1" applyFill="1" applyBorder="1" applyAlignment="1">
      <alignment horizontal="right"/>
    </xf>
    <xf numFmtId="165" fontId="7" fillId="0" borderId="8" xfId="1" applyNumberFormat="1" applyFont="1" applyBorder="1" applyAlignment="1">
      <alignment horizontal="center"/>
    </xf>
    <xf numFmtId="165" fontId="6" fillId="0" borderId="9" xfId="1" applyNumberFormat="1" applyFont="1" applyBorder="1" applyAlignment="1">
      <alignment horizontal="center"/>
    </xf>
    <xf numFmtId="165" fontId="7" fillId="0" borderId="9" xfId="1" applyNumberFormat="1" applyFont="1" applyBorder="1" applyAlignment="1">
      <alignment horizontal="center"/>
    </xf>
    <xf numFmtId="0" fontId="12" fillId="3" borderId="8" xfId="1" applyFont="1" applyFill="1" applyBorder="1" applyAlignment="1">
      <alignment horizontal="center"/>
    </xf>
    <xf numFmtId="0" fontId="12" fillId="5" borderId="0" xfId="1" applyFont="1" applyFill="1" applyAlignment="1">
      <alignment horizontal="right"/>
    </xf>
    <xf numFmtId="2" fontId="12" fillId="5" borderId="0" xfId="1" applyNumberFormat="1" applyFont="1" applyFill="1" applyAlignment="1">
      <alignment horizontal="center"/>
    </xf>
    <xf numFmtId="165" fontId="12" fillId="5" borderId="0" xfId="1" applyNumberFormat="1" applyFont="1" applyFill="1" applyAlignment="1">
      <alignment horizontal="center"/>
    </xf>
    <xf numFmtId="0" fontId="2" fillId="3" borderId="10" xfId="1" applyFill="1" applyBorder="1" applyAlignment="1">
      <alignment horizontal="right"/>
    </xf>
    <xf numFmtId="165" fontId="7" fillId="0" borderId="0" xfId="1" applyNumberFormat="1" applyFont="1" applyAlignment="1">
      <alignment horizontal="center"/>
    </xf>
    <xf numFmtId="165" fontId="6" fillId="0" borderId="6" xfId="1" applyNumberFormat="1" applyFont="1" applyBorder="1" applyAlignment="1">
      <alignment horizontal="center"/>
    </xf>
    <xf numFmtId="2" fontId="6" fillId="0" borderId="9" xfId="1" applyNumberFormat="1" applyFont="1" applyBorder="1" applyAlignment="1">
      <alignment horizontal="center"/>
    </xf>
    <xf numFmtId="0" fontId="12" fillId="3" borderId="0" xfId="1" applyFont="1" applyFill="1"/>
    <xf numFmtId="0" fontId="14" fillId="5" borderId="0" xfId="1" applyFont="1" applyFill="1"/>
    <xf numFmtId="0" fontId="12" fillId="5" borderId="0" xfId="1" applyFont="1" applyFill="1"/>
    <xf numFmtId="1" fontId="7" fillId="0" borderId="0" xfId="1" applyNumberFormat="1" applyFont="1" applyAlignment="1">
      <alignment horizontal="center"/>
    </xf>
    <xf numFmtId="1" fontId="6" fillId="0" borderId="6" xfId="1" applyNumberFormat="1" applyFont="1" applyBorder="1" applyAlignment="1">
      <alignment horizontal="center"/>
    </xf>
    <xf numFmtId="0" fontId="2" fillId="3" borderId="11" xfId="1" applyFill="1" applyBorder="1" applyAlignment="1">
      <alignment horizontal="right"/>
    </xf>
    <xf numFmtId="1" fontId="7" fillId="0" borderId="1" xfId="1" applyNumberFormat="1" applyFont="1" applyBorder="1" applyAlignment="1">
      <alignment horizontal="center"/>
    </xf>
    <xf numFmtId="1" fontId="6" fillId="0" borderId="12" xfId="1" applyNumberFormat="1" applyFont="1" applyBorder="1" applyAlignment="1">
      <alignment horizontal="center"/>
    </xf>
    <xf numFmtId="1" fontId="12" fillId="5" borderId="0" xfId="1" applyNumberFormat="1" applyFont="1" applyFill="1" applyAlignment="1">
      <alignment horizontal="center"/>
    </xf>
    <xf numFmtId="0" fontId="2" fillId="6" borderId="2" xfId="1" applyFill="1" applyBorder="1" applyAlignment="1">
      <alignment horizontal="right"/>
    </xf>
    <xf numFmtId="1" fontId="5" fillId="0" borderId="4" xfId="1" applyNumberFormat="1" applyFont="1" applyBorder="1" applyAlignment="1">
      <alignment horizontal="center"/>
    </xf>
    <xf numFmtId="0" fontId="2" fillId="3" borderId="3" xfId="1" applyFill="1" applyBorder="1" applyAlignment="1">
      <alignment horizontal="center"/>
    </xf>
    <xf numFmtId="1" fontId="2" fillId="3" borderId="0" xfId="1" applyNumberFormat="1" applyFill="1" applyAlignment="1">
      <alignment horizontal="center"/>
    </xf>
    <xf numFmtId="0" fontId="2" fillId="7" borderId="2" xfId="1" applyFill="1" applyBorder="1" applyAlignment="1">
      <alignment horizontal="right"/>
    </xf>
    <xf numFmtId="1" fontId="16" fillId="0" borderId="4" xfId="1" applyNumberFormat="1" applyFont="1" applyBorder="1" applyAlignment="1">
      <alignment horizontal="center"/>
    </xf>
    <xf numFmtId="1" fontId="6" fillId="5" borderId="3" xfId="1" applyNumberFormat="1" applyFont="1" applyFill="1" applyBorder="1" applyAlignment="1">
      <alignment horizontal="center"/>
    </xf>
    <xf numFmtId="0" fontId="12" fillId="3" borderId="0" xfId="1" applyFont="1" applyFill="1" applyAlignment="1">
      <alignment horizontal="right"/>
    </xf>
    <xf numFmtId="1" fontId="12" fillId="3" borderId="0" xfId="1" applyNumberFormat="1" applyFont="1" applyFill="1" applyAlignment="1">
      <alignment horizontal="center"/>
    </xf>
    <xf numFmtId="165" fontId="17" fillId="3" borderId="0" xfId="1" applyNumberFormat="1" applyFont="1" applyFill="1"/>
    <xf numFmtId="0" fontId="2" fillId="5" borderId="7" xfId="1" applyFill="1" applyBorder="1" applyAlignment="1">
      <alignment horizontal="right"/>
    </xf>
    <xf numFmtId="2" fontId="7" fillId="0" borderId="0" xfId="1" applyNumberFormat="1" applyFont="1" applyAlignment="1">
      <alignment horizontal="center"/>
    </xf>
    <xf numFmtId="2" fontId="7" fillId="0" borderId="3" xfId="1" applyNumberFormat="1" applyFont="1" applyBorder="1" applyAlignment="1">
      <alignment horizontal="center"/>
    </xf>
    <xf numFmtId="0" fontId="2" fillId="5" borderId="10" xfId="1" applyFill="1" applyBorder="1" applyAlignment="1">
      <alignment horizontal="right"/>
    </xf>
    <xf numFmtId="2" fontId="7" fillId="0" borderId="6" xfId="1" applyNumberFormat="1" applyFont="1" applyBorder="1" applyAlignment="1">
      <alignment horizontal="center"/>
    </xf>
    <xf numFmtId="165" fontId="7" fillId="0" borderId="6" xfId="1" applyNumberFormat="1" applyFont="1" applyBorder="1" applyAlignment="1">
      <alignment horizontal="center"/>
    </xf>
    <xf numFmtId="165" fontId="2" fillId="3" borderId="0" xfId="1" applyNumberFormat="1" applyFill="1"/>
    <xf numFmtId="0" fontId="18" fillId="3" borderId="2" xfId="1" applyFont="1" applyFill="1" applyBorder="1" applyAlignment="1">
      <alignment horizontal="left"/>
    </xf>
    <xf numFmtId="0" fontId="3" fillId="3" borderId="4" xfId="1" applyFont="1" applyFill="1" applyBorder="1" applyAlignment="1">
      <alignment horizontal="right"/>
    </xf>
    <xf numFmtId="0" fontId="9" fillId="3" borderId="4" xfId="1" applyFont="1" applyFill="1" applyBorder="1"/>
    <xf numFmtId="0" fontId="9" fillId="3" borderId="3" xfId="1" applyFont="1" applyFill="1" applyBorder="1" applyAlignment="1">
      <alignment horizontal="left"/>
    </xf>
    <xf numFmtId="0" fontId="2" fillId="5" borderId="11" xfId="1" applyFill="1" applyBorder="1" applyAlignment="1">
      <alignment horizontal="right"/>
    </xf>
    <xf numFmtId="1" fontId="7" fillId="0" borderId="12" xfId="1" applyNumberFormat="1" applyFont="1" applyBorder="1" applyAlignment="1">
      <alignment horizontal="center"/>
    </xf>
    <xf numFmtId="0" fontId="2" fillId="5" borderId="1" xfId="1" applyFill="1" applyBorder="1" applyAlignment="1">
      <alignment horizontal="right"/>
    </xf>
    <xf numFmtId="0" fontId="9" fillId="3" borderId="0" xfId="1" applyFont="1" applyFill="1" applyAlignment="1">
      <alignment horizontal="center"/>
    </xf>
    <xf numFmtId="0" fontId="3" fillId="3" borderId="10" xfId="1" applyFont="1" applyFill="1" applyBorder="1" applyAlignment="1">
      <alignment horizontal="left"/>
    </xf>
    <xf numFmtId="0" fontId="2" fillId="3" borderId="6" xfId="1" applyFill="1" applyBorder="1" applyAlignment="1">
      <alignment horizontal="center"/>
    </xf>
    <xf numFmtId="0" fontId="18" fillId="5" borderId="11" xfId="1" applyFont="1" applyFill="1" applyBorder="1" applyAlignment="1">
      <alignment horizontal="left"/>
    </xf>
    <xf numFmtId="0" fontId="3" fillId="5" borderId="1" xfId="1" applyFont="1" applyFill="1" applyBorder="1" applyAlignment="1">
      <alignment horizontal="right"/>
    </xf>
    <xf numFmtId="0" fontId="9" fillId="5" borderId="1" xfId="1" applyFont="1" applyFill="1" applyBorder="1"/>
    <xf numFmtId="0" fontId="9" fillId="5" borderId="12" xfId="1" applyFont="1" applyFill="1" applyBorder="1"/>
    <xf numFmtId="0" fontId="19" fillId="5" borderId="0" xfId="1" applyFont="1" applyFill="1" applyAlignment="1">
      <alignment horizontal="center"/>
    </xf>
    <xf numFmtId="0" fontId="9" fillId="0" borderId="0" xfId="1" applyFont="1" applyAlignment="1">
      <alignment horizontal="center"/>
    </xf>
    <xf numFmtId="0" fontId="4" fillId="3" borderId="0" xfId="1" applyFont="1" applyFill="1"/>
    <xf numFmtId="0" fontId="4" fillId="2" borderId="0" xfId="1" applyFont="1" applyFill="1" applyAlignment="1">
      <alignment horizontal="center"/>
    </xf>
    <xf numFmtId="0" fontId="4" fillId="3" borderId="7" xfId="1" applyFont="1" applyFill="1" applyBorder="1"/>
    <xf numFmtId="0" fontId="4" fillId="3" borderId="8" xfId="1" applyFont="1" applyFill="1" applyBorder="1" applyAlignment="1">
      <alignment horizontal="right"/>
    </xf>
    <xf numFmtId="2" fontId="6" fillId="2" borderId="8" xfId="1" applyNumberFormat="1" applyFont="1" applyFill="1" applyBorder="1" applyAlignment="1">
      <alignment horizontal="center"/>
    </xf>
    <xf numFmtId="2" fontId="6" fillId="0" borderId="8" xfId="1" applyNumberFormat="1" applyFont="1" applyBorder="1" applyAlignment="1">
      <alignment horizontal="center"/>
    </xf>
    <xf numFmtId="0" fontId="4" fillId="3" borderId="9" xfId="1" applyFont="1" applyFill="1" applyBorder="1" applyAlignment="1">
      <alignment horizontal="center"/>
    </xf>
    <xf numFmtId="0" fontId="4" fillId="3" borderId="0" xfId="1" applyFont="1" applyFill="1" applyAlignment="1">
      <alignment horizontal="center"/>
    </xf>
    <xf numFmtId="0" fontId="4" fillId="5" borderId="0" xfId="1" applyFont="1" applyFill="1" applyAlignment="1">
      <alignment horizontal="left"/>
    </xf>
    <xf numFmtId="0" fontId="4" fillId="5" borderId="11" xfId="1" applyFont="1" applyFill="1" applyBorder="1" applyAlignment="1">
      <alignment horizontal="left"/>
    </xf>
    <xf numFmtId="0" fontId="20" fillId="5" borderId="12" xfId="1" applyFont="1" applyFill="1" applyBorder="1" applyAlignment="1">
      <alignment horizontal="center"/>
    </xf>
    <xf numFmtId="0" fontId="2" fillId="2" borderId="0" xfId="1" applyFill="1" applyAlignment="1">
      <alignment horizontal="center"/>
    </xf>
    <xf numFmtId="0" fontId="2" fillId="3" borderId="10" xfId="1" applyFill="1" applyBorder="1"/>
    <xf numFmtId="2" fontId="7" fillId="2" borderId="0" xfId="1" applyNumberFormat="1" applyFont="1" applyFill="1" applyAlignment="1">
      <alignment horizontal="center"/>
    </xf>
    <xf numFmtId="2" fontId="7" fillId="0" borderId="0" xfId="1" applyNumberFormat="1" applyFont="1" applyAlignment="1">
      <alignment horizontal="left"/>
    </xf>
    <xf numFmtId="0" fontId="4" fillId="5" borderId="0" xfId="1" applyFont="1" applyFill="1" applyAlignment="1">
      <alignment horizontal="center"/>
    </xf>
    <xf numFmtId="0" fontId="2" fillId="5" borderId="0" xfId="1" applyFill="1" applyAlignment="1">
      <alignment horizontal="left"/>
    </xf>
    <xf numFmtId="0" fontId="4" fillId="5" borderId="0" xfId="1" applyFont="1" applyFill="1"/>
    <xf numFmtId="0" fontId="4" fillId="5" borderId="10" xfId="1" applyFont="1" applyFill="1" applyBorder="1"/>
    <xf numFmtId="0" fontId="4" fillId="5" borderId="0" xfId="1" applyFont="1" applyFill="1" applyAlignment="1">
      <alignment horizontal="right"/>
    </xf>
    <xf numFmtId="2" fontId="6" fillId="0" borderId="0" xfId="1" applyNumberFormat="1" applyFont="1" applyAlignment="1">
      <alignment horizontal="center"/>
    </xf>
    <xf numFmtId="2" fontId="21" fillId="5" borderId="6" xfId="1" applyNumberFormat="1" applyFont="1" applyFill="1" applyBorder="1" applyAlignment="1">
      <alignment horizontal="center"/>
    </xf>
    <xf numFmtId="165" fontId="21" fillId="5" borderId="0" xfId="1" applyNumberFormat="1" applyFont="1" applyFill="1" applyAlignment="1">
      <alignment horizontal="center"/>
    </xf>
    <xf numFmtId="2" fontId="7" fillId="0" borderId="0" xfId="1" applyNumberFormat="1" applyFont="1"/>
    <xf numFmtId="0" fontId="2" fillId="5" borderId="10" xfId="1" applyFill="1" applyBorder="1"/>
    <xf numFmtId="2" fontId="22" fillId="5" borderId="6" xfId="1" applyNumberFormat="1" applyFont="1" applyFill="1" applyBorder="1" applyAlignment="1">
      <alignment horizontal="left"/>
    </xf>
    <xf numFmtId="165" fontId="22" fillId="5" borderId="0" xfId="1" applyNumberFormat="1" applyFont="1" applyFill="1" applyAlignment="1">
      <alignment horizontal="left"/>
    </xf>
    <xf numFmtId="2" fontId="6" fillId="3" borderId="0" xfId="1" applyNumberFormat="1" applyFont="1" applyFill="1" applyAlignment="1">
      <alignment horizontal="center"/>
    </xf>
    <xf numFmtId="2" fontId="7" fillId="0" borderId="0" xfId="1" applyNumberFormat="1" applyFont="1" applyAlignment="1">
      <alignment horizontal="right"/>
    </xf>
    <xf numFmtId="2" fontId="22" fillId="5" borderId="6" xfId="1" applyNumberFormat="1" applyFont="1" applyFill="1" applyBorder="1" applyAlignment="1">
      <alignment horizontal="right"/>
    </xf>
    <xf numFmtId="165" fontId="22" fillId="5" borderId="0" xfId="1" applyNumberFormat="1" applyFont="1" applyFill="1" applyAlignment="1">
      <alignment horizontal="right"/>
    </xf>
    <xf numFmtId="2" fontId="2" fillId="2" borderId="0" xfId="1" applyNumberFormat="1" applyFill="1" applyAlignment="1">
      <alignment horizontal="center"/>
    </xf>
    <xf numFmtId="0" fontId="23" fillId="3" borderId="10" xfId="1" applyFont="1" applyFill="1" applyBorder="1"/>
    <xf numFmtId="0" fontId="4" fillId="3" borderId="0" xfId="1" applyFont="1" applyFill="1" applyAlignment="1">
      <alignment horizontal="right"/>
    </xf>
    <xf numFmtId="2" fontId="6" fillId="2" borderId="0" xfId="1" applyNumberFormat="1" applyFont="1" applyFill="1" applyAlignment="1">
      <alignment horizontal="center"/>
    </xf>
    <xf numFmtId="2" fontId="6" fillId="0" borderId="6" xfId="1" applyNumberFormat="1" applyFont="1" applyBorder="1" applyAlignment="1">
      <alignment horizontal="center"/>
    </xf>
    <xf numFmtId="2" fontId="7" fillId="3" borderId="0" xfId="1" applyNumberFormat="1" applyFont="1" applyFill="1" applyAlignment="1">
      <alignment horizontal="left"/>
    </xf>
    <xf numFmtId="2" fontId="6" fillId="5" borderId="0" xfId="1" applyNumberFormat="1" applyFont="1" applyFill="1" applyAlignment="1">
      <alignment horizontal="center"/>
    </xf>
    <xf numFmtId="165" fontId="6" fillId="5" borderId="0" xfId="1" applyNumberFormat="1" applyFont="1" applyFill="1" applyAlignment="1">
      <alignment horizontal="center"/>
    </xf>
    <xf numFmtId="0" fontId="12" fillId="3" borderId="10" xfId="1" applyFont="1" applyFill="1" applyBorder="1"/>
    <xf numFmtId="2" fontId="7" fillId="3" borderId="0" xfId="1" applyNumberFormat="1" applyFont="1" applyFill="1"/>
    <xf numFmtId="2" fontId="7" fillId="5" borderId="0" xfId="1" applyNumberFormat="1" applyFont="1" applyFill="1" applyAlignment="1">
      <alignment horizontal="left"/>
    </xf>
    <xf numFmtId="165" fontId="7" fillId="5" borderId="0" xfId="1" applyNumberFormat="1" applyFont="1" applyFill="1" applyAlignment="1">
      <alignment horizontal="left"/>
    </xf>
    <xf numFmtId="1" fontId="7" fillId="3" borderId="0" xfId="1" applyNumberFormat="1" applyFont="1" applyFill="1" applyAlignment="1">
      <alignment horizontal="center"/>
    </xf>
    <xf numFmtId="2" fontId="7" fillId="5" borderId="0" xfId="1" applyNumberFormat="1" applyFont="1" applyFill="1"/>
    <xf numFmtId="2" fontId="7" fillId="0" borderId="6" xfId="1" applyNumberFormat="1" applyFont="1" applyBorder="1" applyAlignment="1">
      <alignment horizontal="left"/>
    </xf>
    <xf numFmtId="165" fontId="7" fillId="5" borderId="0" xfId="1" applyNumberFormat="1" applyFont="1" applyFill="1" applyAlignment="1">
      <alignment horizontal="right"/>
    </xf>
    <xf numFmtId="0" fontId="2" fillId="3" borderId="13" xfId="1" applyFill="1" applyBorder="1" applyAlignment="1">
      <alignment horizontal="right"/>
    </xf>
    <xf numFmtId="2" fontId="22" fillId="3" borderId="0" xfId="1" applyNumberFormat="1" applyFont="1" applyFill="1"/>
    <xf numFmtId="1" fontId="7" fillId="5" borderId="0" xfId="1" applyNumberFormat="1" applyFont="1" applyFill="1" applyAlignment="1">
      <alignment horizontal="center"/>
    </xf>
    <xf numFmtId="2" fontId="7" fillId="0" borderId="6" xfId="1" applyNumberFormat="1" applyFont="1" applyBorder="1" applyAlignment="1">
      <alignment horizontal="right"/>
    </xf>
    <xf numFmtId="2" fontId="22" fillId="5" borderId="0" xfId="1" applyNumberFormat="1" applyFont="1" applyFill="1"/>
    <xf numFmtId="0" fontId="2" fillId="5" borderId="13" xfId="1" applyFill="1" applyBorder="1" applyAlignment="1">
      <alignment horizontal="right"/>
    </xf>
    <xf numFmtId="165" fontId="22" fillId="5" borderId="0" xfId="1" applyNumberFormat="1" applyFont="1" applyFill="1"/>
    <xf numFmtId="2" fontId="4" fillId="2" borderId="0" xfId="1" applyNumberFormat="1" applyFont="1" applyFill="1" applyAlignment="1">
      <alignment horizontal="center"/>
    </xf>
    <xf numFmtId="2" fontId="7" fillId="3" borderId="0" xfId="1" applyNumberFormat="1" applyFont="1" applyFill="1" applyAlignment="1">
      <alignment horizontal="right"/>
    </xf>
    <xf numFmtId="2" fontId="7" fillId="5" borderId="0" xfId="1" applyNumberFormat="1" applyFont="1" applyFill="1" applyAlignment="1">
      <alignment horizontal="right"/>
    </xf>
    <xf numFmtId="2" fontId="12" fillId="3" borderId="0" xfId="1" applyNumberFormat="1" applyFont="1" applyFill="1" applyAlignment="1">
      <alignment horizontal="right"/>
    </xf>
    <xf numFmtId="1" fontId="12" fillId="3" borderId="6" xfId="1" applyNumberFormat="1" applyFont="1" applyFill="1" applyBorder="1" applyAlignment="1">
      <alignment horizontal="center"/>
    </xf>
    <xf numFmtId="2" fontId="4" fillId="3" borderId="0" xfId="1" applyNumberFormat="1" applyFont="1" applyFill="1"/>
    <xf numFmtId="0" fontId="2" fillId="3" borderId="4" xfId="1" applyFill="1" applyBorder="1"/>
    <xf numFmtId="2" fontId="22" fillId="3" borderId="3" xfId="1" applyNumberFormat="1" applyFont="1" applyFill="1" applyBorder="1"/>
    <xf numFmtId="2" fontId="2" fillId="3" borderId="0" xfId="1" applyNumberFormat="1" applyFill="1"/>
    <xf numFmtId="2" fontId="4" fillId="5" borderId="0" xfId="1" applyNumberFormat="1" applyFont="1" applyFill="1"/>
    <xf numFmtId="0" fontId="23" fillId="5" borderId="10" xfId="1" applyFont="1" applyFill="1" applyBorder="1"/>
    <xf numFmtId="2" fontId="12" fillId="5" borderId="0" xfId="1" applyNumberFormat="1" applyFont="1" applyFill="1" applyAlignment="1">
      <alignment horizontal="right"/>
    </xf>
    <xf numFmtId="1" fontId="12" fillId="5" borderId="6" xfId="1" applyNumberFormat="1" applyFont="1" applyFill="1" applyBorder="1" applyAlignment="1">
      <alignment horizontal="center"/>
    </xf>
    <xf numFmtId="2" fontId="21" fillId="5" borderId="0" xfId="1" applyNumberFormat="1" applyFont="1" applyFill="1" applyAlignment="1">
      <alignment horizontal="center"/>
    </xf>
    <xf numFmtId="2" fontId="4" fillId="3" borderId="6" xfId="1" applyNumberFormat="1" applyFont="1" applyFill="1" applyBorder="1"/>
    <xf numFmtId="2" fontId="2" fillId="5" borderId="0" xfId="1" applyNumberFormat="1" applyFill="1"/>
    <xf numFmtId="0" fontId="4" fillId="5" borderId="2" xfId="1" applyFont="1" applyFill="1" applyBorder="1" applyAlignment="1">
      <alignment horizontal="left"/>
    </xf>
    <xf numFmtId="0" fontId="2" fillId="5" borderId="4" xfId="1" applyFill="1" applyBorder="1" applyAlignment="1">
      <alignment horizontal="right"/>
    </xf>
    <xf numFmtId="165" fontId="7" fillId="5" borderId="4" xfId="1" applyNumberFormat="1" applyFont="1" applyFill="1" applyBorder="1"/>
    <xf numFmtId="165" fontId="22" fillId="5" borderId="3" xfId="1" applyNumberFormat="1" applyFont="1" applyFill="1" applyBorder="1"/>
    <xf numFmtId="2" fontId="22" fillId="5" borderId="0" xfId="1" applyNumberFormat="1" applyFont="1" applyFill="1" applyAlignment="1">
      <alignment horizontal="left"/>
    </xf>
    <xf numFmtId="2" fontId="2" fillId="3" borderId="6" xfId="1" applyNumberFormat="1" applyFill="1" applyBorder="1"/>
    <xf numFmtId="165" fontId="6" fillId="0" borderId="0" xfId="1" applyNumberFormat="1" applyFont="1" applyAlignment="1">
      <alignment horizontal="center"/>
    </xf>
    <xf numFmtId="165" fontId="21" fillId="5" borderId="6" xfId="1" applyNumberFormat="1" applyFont="1" applyFill="1" applyBorder="1" applyAlignment="1">
      <alignment horizontal="center"/>
    </xf>
    <xf numFmtId="0" fontId="4" fillId="3" borderId="6" xfId="1" applyFont="1" applyFill="1" applyBorder="1" applyAlignment="1">
      <alignment horizontal="center"/>
    </xf>
    <xf numFmtId="165" fontId="7" fillId="0" borderId="0" xfId="1" applyNumberFormat="1" applyFont="1" applyAlignment="1">
      <alignment horizontal="left"/>
    </xf>
    <xf numFmtId="165" fontId="22" fillId="5" borderId="6" xfId="1" applyNumberFormat="1" applyFont="1" applyFill="1" applyBorder="1" applyAlignment="1">
      <alignment horizontal="left"/>
    </xf>
    <xf numFmtId="165" fontId="7" fillId="0" borderId="0" xfId="1" applyNumberFormat="1" applyFont="1" applyAlignment="1">
      <alignment horizontal="right"/>
    </xf>
    <xf numFmtId="165" fontId="22" fillId="5" borderId="6" xfId="1" applyNumberFormat="1" applyFont="1" applyFill="1" applyBorder="1" applyAlignment="1">
      <alignment horizontal="right"/>
    </xf>
    <xf numFmtId="165" fontId="14" fillId="3" borderId="0" xfId="1" applyNumberFormat="1" applyFont="1" applyFill="1" applyAlignment="1">
      <alignment horizontal="center"/>
    </xf>
    <xf numFmtId="165" fontId="14" fillId="5" borderId="0" xfId="1" applyNumberFormat="1" applyFont="1" applyFill="1" applyAlignment="1">
      <alignment horizontal="center"/>
    </xf>
    <xf numFmtId="0" fontId="14" fillId="3" borderId="0" xfId="1" applyFont="1" applyFill="1" applyAlignment="1">
      <alignment horizontal="center"/>
    </xf>
    <xf numFmtId="165" fontId="7" fillId="0" borderId="6" xfId="1" applyNumberFormat="1" applyFont="1" applyBorder="1" applyAlignment="1">
      <alignment horizontal="left"/>
    </xf>
    <xf numFmtId="0" fontId="14" fillId="0" borderId="0" xfId="1" applyFont="1"/>
    <xf numFmtId="0" fontId="14" fillId="0" borderId="0" xfId="1" applyFont="1" applyAlignment="1">
      <alignment horizontal="right"/>
    </xf>
    <xf numFmtId="164" fontId="14" fillId="0" borderId="0" xfId="1" applyNumberFormat="1" applyFont="1"/>
    <xf numFmtId="165" fontId="7" fillId="0" borderId="6" xfId="1" applyNumberFormat="1" applyFont="1" applyBorder="1" applyAlignment="1">
      <alignment horizontal="right"/>
    </xf>
    <xf numFmtId="0" fontId="2" fillId="3" borderId="11" xfId="1" applyFill="1" applyBorder="1"/>
    <xf numFmtId="0" fontId="4" fillId="3" borderId="11" xfId="1" applyFont="1" applyFill="1" applyBorder="1"/>
    <xf numFmtId="0" fontId="7" fillId="3" borderId="4" xfId="1" applyFont="1" applyFill="1" applyBorder="1"/>
    <xf numFmtId="0" fontId="2" fillId="3" borderId="3" xfId="1" applyFill="1" applyBorder="1"/>
    <xf numFmtId="164" fontId="7" fillId="3" borderId="0" xfId="1" applyNumberFormat="1" applyFont="1" applyFill="1"/>
    <xf numFmtId="0" fontId="4" fillId="3" borderId="10" xfId="1" applyFont="1" applyFill="1" applyBorder="1"/>
    <xf numFmtId="164" fontId="7" fillId="3" borderId="0" xfId="1" applyNumberFormat="1" applyFont="1" applyFill="1" applyAlignment="1">
      <alignment horizontal="right"/>
    </xf>
    <xf numFmtId="164" fontId="22" fillId="5" borderId="0" xfId="1" applyNumberFormat="1" applyFont="1" applyFill="1" applyAlignment="1">
      <alignment horizontal="right"/>
    </xf>
    <xf numFmtId="0" fontId="14" fillId="5" borderId="0" xfId="1" applyFont="1" applyFill="1" applyAlignment="1">
      <alignment horizontal="right"/>
    </xf>
    <xf numFmtId="164" fontId="14" fillId="5" borderId="0" xfId="1" applyNumberFormat="1" applyFont="1" applyFill="1"/>
    <xf numFmtId="0" fontId="11" fillId="5" borderId="0" xfId="1" applyFont="1" applyFill="1"/>
    <xf numFmtId="0" fontId="25" fillId="5" borderId="0" xfId="1" applyFont="1" applyFill="1"/>
    <xf numFmtId="0" fontId="2" fillId="3" borderId="1" xfId="1" applyFill="1" applyBorder="1" applyAlignment="1">
      <alignment horizontal="right"/>
    </xf>
    <xf numFmtId="2" fontId="7" fillId="2" borderId="1" xfId="1" applyNumberFormat="1" applyFont="1" applyFill="1" applyBorder="1" applyAlignment="1">
      <alignment horizontal="center"/>
    </xf>
    <xf numFmtId="2" fontId="7" fillId="0" borderId="1" xfId="1" applyNumberFormat="1" applyFont="1" applyBorder="1" applyAlignment="1">
      <alignment horizontal="right"/>
    </xf>
    <xf numFmtId="2" fontId="7" fillId="0" borderId="12" xfId="1" applyNumberFormat="1" applyFont="1" applyBorder="1" applyAlignment="1">
      <alignment horizontal="right"/>
    </xf>
    <xf numFmtId="165" fontId="12" fillId="3" borderId="0" xfId="1" applyNumberFormat="1" applyFont="1" applyFill="1" applyAlignment="1">
      <alignment horizontal="center"/>
    </xf>
    <xf numFmtId="2" fontId="7" fillId="5" borderId="6" xfId="1" applyNumberFormat="1" applyFont="1" applyFill="1" applyBorder="1" applyAlignment="1">
      <alignment horizontal="center"/>
    </xf>
    <xf numFmtId="0" fontId="12" fillId="4" borderId="0" xfId="1" applyFont="1" applyFill="1"/>
    <xf numFmtId="165" fontId="26" fillId="3" borderId="0" xfId="1" applyNumberFormat="1" applyFont="1" applyFill="1" applyAlignment="1">
      <alignment horizontal="center"/>
    </xf>
    <xf numFmtId="0" fontId="27" fillId="4" borderId="0" xfId="1" applyFont="1" applyFill="1" applyAlignment="1">
      <alignment horizontal="right"/>
    </xf>
    <xf numFmtId="2" fontId="26" fillId="4" borderId="0" xfId="1" applyNumberFormat="1" applyFont="1" applyFill="1" applyAlignment="1">
      <alignment horizontal="center"/>
    </xf>
    <xf numFmtId="0" fontId="26" fillId="4" borderId="0" xfId="1" applyFont="1" applyFill="1" applyAlignment="1">
      <alignment horizontal="right"/>
    </xf>
    <xf numFmtId="1" fontId="26" fillId="4" borderId="0" xfId="1" applyNumberFormat="1" applyFont="1" applyFill="1" applyAlignment="1">
      <alignment horizontal="center"/>
    </xf>
    <xf numFmtId="165" fontId="26" fillId="4" borderId="0" xfId="1" applyNumberFormat="1" applyFont="1" applyFill="1" applyAlignment="1">
      <alignment horizontal="center"/>
    </xf>
    <xf numFmtId="0" fontId="4" fillId="5" borderId="2" xfId="1" applyFont="1" applyFill="1" applyBorder="1"/>
    <xf numFmtId="0" fontId="2" fillId="5" borderId="1" xfId="1" applyFill="1" applyBorder="1"/>
    <xf numFmtId="0" fontId="7" fillId="5" borderId="4" xfId="1" applyFont="1" applyFill="1" applyBorder="1"/>
    <xf numFmtId="0" fontId="2" fillId="5" borderId="3" xfId="1" applyFill="1" applyBorder="1"/>
    <xf numFmtId="0" fontId="2" fillId="5" borderId="11" xfId="1" applyFill="1" applyBorder="1"/>
    <xf numFmtId="0" fontId="28" fillId="5" borderId="0" xfId="1" applyFont="1" applyFill="1" applyAlignment="1">
      <alignment horizontal="left"/>
    </xf>
    <xf numFmtId="0" fontId="28" fillId="5" borderId="0" xfId="1" applyFont="1" applyFill="1" applyAlignment="1">
      <alignment horizontal="right"/>
    </xf>
    <xf numFmtId="0" fontId="10" fillId="5" borderId="0" xfId="1" applyFont="1" applyFill="1"/>
    <xf numFmtId="0" fontId="28" fillId="5" borderId="0" xfId="1" applyFont="1" applyFill="1" applyAlignment="1">
      <alignment horizontal="center"/>
    </xf>
    <xf numFmtId="0" fontId="23" fillId="5" borderId="0" xfId="1" applyFont="1" applyFill="1"/>
    <xf numFmtId="0" fontId="23" fillId="5" borderId="0" xfId="1" applyFont="1" applyFill="1" applyAlignment="1">
      <alignment horizontal="right"/>
    </xf>
    <xf numFmtId="165" fontId="23" fillId="5" borderId="0" xfId="1" applyNumberFormat="1" applyFont="1" applyFill="1" applyAlignment="1">
      <alignment horizontal="center"/>
    </xf>
    <xf numFmtId="165" fontId="12" fillId="5" borderId="0" xfId="1" applyNumberFormat="1" applyFont="1" applyFill="1" applyAlignment="1">
      <alignment horizontal="left"/>
    </xf>
    <xf numFmtId="165" fontId="12" fillId="5" borderId="0" xfId="1" applyNumberFormat="1" applyFont="1" applyFill="1"/>
    <xf numFmtId="165" fontId="12" fillId="5" borderId="0" xfId="1" applyNumberFormat="1" applyFont="1" applyFill="1" applyAlignment="1">
      <alignment horizontal="right"/>
    </xf>
    <xf numFmtId="2" fontId="12" fillId="5" borderId="0" xfId="1" applyNumberFormat="1" applyFont="1" applyFill="1"/>
    <xf numFmtId="2" fontId="12" fillId="5" borderId="0" xfId="1" applyNumberFormat="1" applyFont="1" applyFill="1" applyAlignment="1">
      <alignment horizontal="left"/>
    </xf>
    <xf numFmtId="2" fontId="23" fillId="5" borderId="0" xfId="1" applyNumberFormat="1" applyFont="1" applyFill="1" applyAlignment="1">
      <alignment horizontal="center"/>
    </xf>
    <xf numFmtId="0" fontId="12" fillId="8" borderId="0" xfId="1" applyFont="1" applyFill="1"/>
    <xf numFmtId="0" fontId="2" fillId="8" borderId="0" xfId="1" applyFill="1"/>
    <xf numFmtId="0" fontId="27" fillId="8" borderId="0" xfId="1" applyFont="1" applyFill="1" applyAlignment="1">
      <alignment horizontal="right"/>
    </xf>
    <xf numFmtId="2" fontId="26" fillId="8" borderId="0" xfId="1" applyNumberFormat="1" applyFont="1" applyFill="1" applyAlignment="1">
      <alignment horizontal="center"/>
    </xf>
    <xf numFmtId="0" fontId="26" fillId="8" borderId="0" xfId="1" applyFont="1" applyFill="1" applyAlignment="1">
      <alignment horizontal="right"/>
    </xf>
    <xf numFmtId="1" fontId="26" fillId="8" borderId="0" xfId="1" applyNumberFormat="1" applyFont="1" applyFill="1" applyAlignment="1">
      <alignment horizontal="center"/>
    </xf>
    <xf numFmtId="0" fontId="33" fillId="0" borderId="0" xfId="0" applyFont="1" applyAlignment="1">
      <alignment horizontal="center" vertical="center"/>
    </xf>
    <xf numFmtId="2" fontId="7" fillId="0" borderId="8" xfId="1" applyNumberFormat="1" applyFont="1" applyBorder="1" applyAlignment="1">
      <alignment horizontal="center"/>
    </xf>
    <xf numFmtId="0" fontId="1" fillId="0" borderId="5" xfId="0" applyFont="1" applyBorder="1" applyAlignment="1">
      <alignment horizontal="center" vertical="center" wrapText="1"/>
    </xf>
    <xf numFmtId="0" fontId="1" fillId="0" borderId="5" xfId="0" applyFont="1" applyBorder="1" applyAlignment="1">
      <alignment horizontal="center" wrapText="1"/>
    </xf>
    <xf numFmtId="0" fontId="1" fillId="0" borderId="5" xfId="0" applyFont="1" applyBorder="1" applyAlignment="1">
      <alignment horizontal="center" vertical="center"/>
    </xf>
    <xf numFmtId="2" fontId="0" fillId="0" borderId="5" xfId="0" applyNumberFormat="1" applyBorder="1" applyAlignment="1">
      <alignment horizontal="center" vertical="center"/>
    </xf>
    <xf numFmtId="2" fontId="0" fillId="0" borderId="5" xfId="0" applyNumberFormat="1" applyBorder="1" applyAlignment="1">
      <alignment horizontal="center"/>
    </xf>
    <xf numFmtId="0" fontId="3" fillId="3" borderId="0" xfId="1" applyFont="1" applyFill="1" applyAlignment="1">
      <alignment horizontal="right"/>
    </xf>
    <xf numFmtId="0" fontId="8" fillId="0" borderId="0" xfId="1" applyFont="1" applyAlignment="1">
      <alignment horizontal="center"/>
    </xf>
    <xf numFmtId="0" fontId="3" fillId="3" borderId="6" xfId="1" applyFont="1" applyFill="1" applyBorder="1" applyAlignment="1">
      <alignment horizontal="center"/>
    </xf>
    <xf numFmtId="2" fontId="0" fillId="0" borderId="14" xfId="0" applyNumberFormat="1" applyBorder="1" applyAlignment="1">
      <alignment horizontal="center"/>
    </xf>
    <xf numFmtId="0" fontId="4" fillId="3" borderId="2" xfId="1" applyFont="1" applyFill="1" applyBorder="1" applyAlignment="1">
      <alignment horizontal="left"/>
    </xf>
    <xf numFmtId="0" fontId="4" fillId="3" borderId="4" xfId="1" applyFont="1" applyFill="1" applyBorder="1" applyAlignment="1">
      <alignment horizontal="left"/>
    </xf>
    <xf numFmtId="0" fontId="4" fillId="5" borderId="2" xfId="1" applyFont="1" applyFill="1" applyBorder="1" applyAlignment="1">
      <alignment horizontal="left"/>
    </xf>
    <xf numFmtId="0" fontId="4" fillId="5" borderId="1" xfId="1" applyFont="1" applyFill="1" applyBorder="1" applyAlignment="1">
      <alignment horizontal="left"/>
    </xf>
  </cellXfs>
  <cellStyles count="2">
    <cellStyle name="Normal" xfId="0" builtinId="0"/>
    <cellStyle name="Normal 2" xfId="1" xr:uid="{00000000-0005-0000-0000-000001000000}"/>
  </cellStyles>
  <dxfs count="0"/>
  <tableStyles count="0" defaultTableStyle="TableStyleMedium2" defaultPivotStyle="PivotStyleLight16"/>
  <colors>
    <mruColors>
      <color rgb="FFFFCCCC"/>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127043225393714"/>
          <c:y val="7.8157767317707544E-2"/>
          <c:w val="0.7201346795173591"/>
          <c:h val="0.70341990585936787"/>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#REF!$D$30:$D$50</c:f>
            </c:numRef>
          </c:xVal>
          <c:yVal>
            <c:numRef>
              <c:f>#REF!$E$30:$E$50</c:f>
              <c:numCache>
                <c:formatCode>General</c:formatCode>
                <c:ptCount val="1"/>
                <c:pt idx="0">
                  <c:v>1</c:v>
                </c:pt>
              </c:numCache>
            </c:numRef>
          </c:yVal>
          <c:smooth val="0"/>
          <c:extLst>
            <c:ext xmlns:c16="http://schemas.microsoft.com/office/drawing/2014/chart" uri="{C3380CC4-5D6E-409C-BE32-E72D297353CC}">
              <c16:uniqueId val="{00000000-6AAF-B244-8BE1-58506468F6A5}"/>
            </c:ext>
          </c:extLst>
        </c:ser>
        <c:dLbls>
          <c:showLegendKey val="0"/>
          <c:showVal val="0"/>
          <c:showCatName val="0"/>
          <c:showSerName val="0"/>
          <c:showPercent val="0"/>
          <c:showBubbleSize val="0"/>
        </c:dLbls>
        <c:axId val="162261248"/>
        <c:axId val="162260480"/>
      </c:scatterChart>
      <c:valAx>
        <c:axId val="16226124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1</a:t>
                </a:r>
              </a:p>
            </c:rich>
          </c:tx>
          <c:layout>
            <c:manualLayout>
              <c:xMode val="edge"/>
              <c:yMode val="edge"/>
              <c:x val="0.49081765820939049"/>
              <c:y val="0.87276196244700177"/>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260480"/>
        <c:crosses val="autoZero"/>
        <c:crossBetween val="midCat"/>
      </c:valAx>
      <c:valAx>
        <c:axId val="162260480"/>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2</a:t>
                </a:r>
              </a:p>
            </c:rich>
          </c:tx>
          <c:layout>
            <c:manualLayout>
              <c:xMode val="edge"/>
              <c:yMode val="edge"/>
              <c:x val="2.8161271507728201E-2"/>
              <c:y val="0.3430257144430373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261248"/>
        <c:crosses val="autoZero"/>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142147057323497"/>
          <c:y val="8.2192277138814385E-2"/>
          <c:w val="0.71171186969968381"/>
          <c:h val="0.68950188044227612"/>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#REF!$H$30:$H$50</c:f>
            </c:numRef>
          </c:xVal>
          <c:yVal>
            <c:numRef>
              <c:f>#REF!$P$30:$P$50</c:f>
              <c:numCache>
                <c:formatCode>General</c:formatCode>
                <c:ptCount val="1"/>
                <c:pt idx="0">
                  <c:v>1</c:v>
                </c:pt>
              </c:numCache>
            </c:numRef>
          </c:yVal>
          <c:smooth val="0"/>
          <c:extLst>
            <c:ext xmlns:c16="http://schemas.microsoft.com/office/drawing/2014/chart" uri="{C3380CC4-5D6E-409C-BE32-E72D297353CC}">
              <c16:uniqueId val="{00000000-7F6D-DE47-9474-F533663056F8}"/>
            </c:ext>
          </c:extLst>
        </c:ser>
        <c:dLbls>
          <c:showLegendKey val="0"/>
          <c:showVal val="0"/>
          <c:showCatName val="0"/>
          <c:showSerName val="0"/>
          <c:showPercent val="0"/>
          <c:showBubbleSize val="0"/>
        </c:dLbls>
        <c:axId val="162982912"/>
        <c:axId val="162985472"/>
      </c:scatterChart>
      <c:valAx>
        <c:axId val="16298291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5</a:t>
                </a:r>
              </a:p>
            </c:rich>
          </c:tx>
          <c:layout>
            <c:manualLayout>
              <c:xMode val="edge"/>
              <c:yMode val="edge"/>
              <c:x val="0.47842856541328055"/>
              <c:y val="0.8584528460659974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985472"/>
        <c:crosses val="autoZero"/>
        <c:crossBetween val="midCat"/>
      </c:valAx>
      <c:valAx>
        <c:axId val="162985472"/>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6-5</a:t>
                </a:r>
              </a:p>
            </c:rich>
          </c:tx>
          <c:layout>
            <c:manualLayout>
              <c:xMode val="edge"/>
              <c:yMode val="edge"/>
              <c:x val="2.7678218030232852E-2"/>
              <c:y val="0.301371641521909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982912"/>
        <c:crossesAt val="0"/>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24200735025584"/>
          <c:y val="7.9053060252921969E-2"/>
          <c:w val="0.71816782456936468"/>
          <c:h val="0.79053060252921969"/>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#REF!$V$30:$V$50</c:f>
            </c:numRef>
          </c:xVal>
          <c:yVal>
            <c:numRef>
              <c:f>#REF!$W$30:$W$50</c:f>
              <c:numCache>
                <c:formatCode>General</c:formatCode>
                <c:ptCount val="1"/>
                <c:pt idx="0">
                  <c:v>1</c:v>
                </c:pt>
              </c:numCache>
            </c:numRef>
          </c:yVal>
          <c:smooth val="0"/>
          <c:extLst>
            <c:ext xmlns:c16="http://schemas.microsoft.com/office/drawing/2014/chart" uri="{C3380CC4-5D6E-409C-BE32-E72D297353CC}">
              <c16:uniqueId val="{00000000-42EA-4246-A12B-ED055BFF38DE}"/>
            </c:ext>
          </c:extLst>
        </c:ser>
        <c:dLbls>
          <c:showLegendKey val="0"/>
          <c:showVal val="0"/>
          <c:showCatName val="0"/>
          <c:showSerName val="0"/>
          <c:showPercent val="0"/>
          <c:showBubbleSize val="0"/>
        </c:dLbls>
        <c:axId val="163017856"/>
        <c:axId val="163020160"/>
      </c:scatterChart>
      <c:valAx>
        <c:axId val="16301785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1</a:t>
                </a:r>
              </a:p>
            </c:rich>
          </c:tx>
          <c:layout>
            <c:manualLayout>
              <c:xMode val="edge"/>
              <c:yMode val="edge"/>
              <c:x val="0.45872476136013723"/>
              <c:y val="0.87397609873233939"/>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3020160"/>
        <c:crosses val="autoZero"/>
        <c:crossBetween val="midCat"/>
      </c:valAx>
      <c:valAx>
        <c:axId val="163020160"/>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2</a:t>
                </a:r>
              </a:p>
            </c:rich>
          </c:tx>
          <c:layout>
            <c:manualLayout>
              <c:xMode val="edge"/>
              <c:yMode val="edge"/>
              <c:x val="2.6320327277526066E-2"/>
              <c:y val="0.3864818227508795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3017856"/>
        <c:crosses val="autoZero"/>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188192225658587"/>
          <c:y val="7.9053060252921969E-2"/>
          <c:w val="0.71566582453134864"/>
          <c:h val="0.79053060252921969"/>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#REF!$V$30:$V$50</c:f>
            </c:numRef>
          </c:xVal>
          <c:yVal>
            <c:numRef>
              <c:f>#REF!$AD$30:$AD$50</c:f>
              <c:numCache>
                <c:formatCode>General</c:formatCode>
                <c:ptCount val="1"/>
                <c:pt idx="0">
                  <c:v>1</c:v>
                </c:pt>
              </c:numCache>
            </c:numRef>
          </c:yVal>
          <c:smooth val="0"/>
          <c:extLst>
            <c:ext xmlns:c16="http://schemas.microsoft.com/office/drawing/2014/chart" uri="{C3380CC4-5D6E-409C-BE32-E72D297353CC}">
              <c16:uniqueId val="{00000000-B354-CA41-B8F9-6DC0468931DB}"/>
            </c:ext>
          </c:extLst>
        </c:ser>
        <c:dLbls>
          <c:showLegendKey val="0"/>
          <c:showVal val="0"/>
          <c:showCatName val="0"/>
          <c:showSerName val="0"/>
          <c:showPercent val="0"/>
          <c:showBubbleSize val="0"/>
        </c:dLbls>
        <c:axId val="162671616"/>
        <c:axId val="162682368"/>
      </c:scatterChart>
      <c:valAx>
        <c:axId val="16267161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1</a:t>
                </a:r>
              </a:p>
            </c:rich>
          </c:tx>
          <c:layout>
            <c:manualLayout>
              <c:xMode val="edge"/>
              <c:yMode val="edge"/>
              <c:x val="0.43888915083219388"/>
              <c:y val="0.86080024571396652"/>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682368"/>
        <c:crosses val="autoZero"/>
        <c:crossBetween val="midCat"/>
      </c:valAx>
      <c:valAx>
        <c:axId val="162682368"/>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2-1</a:t>
                </a:r>
              </a:p>
            </c:rich>
          </c:tx>
          <c:layout>
            <c:manualLayout>
              <c:xMode val="edge"/>
              <c:yMode val="edge"/>
              <c:x val="2.7677872601254185E-2"/>
              <c:y val="0.355738538001898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671616"/>
        <c:crossesAt val="0"/>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24200735025584"/>
          <c:y val="8.2519812063575448E-2"/>
          <c:w val="0.71816782456936468"/>
          <c:h val="0.7793537806004347"/>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#REF!$W$30:$W$50</c:f>
            </c:numRef>
          </c:xVal>
          <c:yVal>
            <c:numRef>
              <c:f>#REF!$X$30:$X$50</c:f>
              <c:numCache>
                <c:formatCode>General</c:formatCode>
                <c:ptCount val="1"/>
                <c:pt idx="0">
                  <c:v>1</c:v>
                </c:pt>
              </c:numCache>
            </c:numRef>
          </c:yVal>
          <c:smooth val="0"/>
          <c:extLst>
            <c:ext xmlns:c16="http://schemas.microsoft.com/office/drawing/2014/chart" uri="{C3380CC4-5D6E-409C-BE32-E72D297353CC}">
              <c16:uniqueId val="{00000000-CF7C-8D42-981F-B2DA500EB29C}"/>
            </c:ext>
          </c:extLst>
        </c:ser>
        <c:dLbls>
          <c:showLegendKey val="0"/>
          <c:showVal val="0"/>
          <c:showCatName val="0"/>
          <c:showSerName val="0"/>
          <c:showPercent val="0"/>
          <c:showBubbleSize val="0"/>
        </c:dLbls>
        <c:axId val="162710656"/>
        <c:axId val="162712960"/>
      </c:scatterChart>
      <c:valAx>
        <c:axId val="16271065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2</a:t>
                </a:r>
              </a:p>
            </c:rich>
          </c:tx>
          <c:layout>
            <c:manualLayout>
              <c:xMode val="edge"/>
              <c:yMode val="edge"/>
              <c:x val="0.45872476136013723"/>
              <c:y val="0.86645849612309911"/>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712960"/>
        <c:crosses val="autoZero"/>
        <c:crossBetween val="midCat"/>
      </c:valAx>
      <c:valAx>
        <c:axId val="162712960"/>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3</a:t>
                </a:r>
              </a:p>
            </c:rich>
          </c:tx>
          <c:layout>
            <c:manualLayout>
              <c:xMode val="edge"/>
              <c:yMode val="edge"/>
              <c:x val="2.6320327277526066E-2"/>
              <c:y val="0.3805079040692432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710656"/>
        <c:crosses val="autoZero"/>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188192225658587"/>
          <c:y val="8.2519812063575448E-2"/>
          <c:w val="0.71566582453134864"/>
          <c:h val="0.7793537806004347"/>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#REF!$W$30:$W$50</c:f>
            </c:numRef>
          </c:xVal>
          <c:yVal>
            <c:numRef>
              <c:f>#REF!$AE$30:$AE$50</c:f>
              <c:numCache>
                <c:formatCode>General</c:formatCode>
                <c:ptCount val="1"/>
                <c:pt idx="0">
                  <c:v>1</c:v>
                </c:pt>
              </c:numCache>
            </c:numRef>
          </c:yVal>
          <c:smooth val="0"/>
          <c:extLst>
            <c:ext xmlns:c16="http://schemas.microsoft.com/office/drawing/2014/chart" uri="{C3380CC4-5D6E-409C-BE32-E72D297353CC}">
              <c16:uniqueId val="{00000000-4A8E-214A-A4D2-813B18A3C2B8}"/>
            </c:ext>
          </c:extLst>
        </c:ser>
        <c:dLbls>
          <c:showLegendKey val="0"/>
          <c:showVal val="0"/>
          <c:showCatName val="0"/>
          <c:showSerName val="0"/>
          <c:showPercent val="0"/>
          <c:showBubbleSize val="0"/>
        </c:dLbls>
        <c:axId val="162728960"/>
        <c:axId val="162743808"/>
      </c:scatterChart>
      <c:valAx>
        <c:axId val="16272896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2</a:t>
                </a:r>
              </a:p>
            </c:rich>
          </c:tx>
          <c:layout>
            <c:manualLayout>
              <c:xMode val="edge"/>
              <c:yMode val="edge"/>
              <c:x val="0.43888915083219388"/>
              <c:y val="0.85728917473102118"/>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743808"/>
        <c:crosses val="autoZero"/>
        <c:crossBetween val="midCat"/>
      </c:valAx>
      <c:valAx>
        <c:axId val="162743808"/>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3-2</a:t>
                </a:r>
              </a:p>
            </c:rich>
          </c:tx>
          <c:layout>
            <c:manualLayout>
              <c:xMode val="edge"/>
              <c:yMode val="edge"/>
              <c:x val="2.7677872601254185E-2"/>
              <c:y val="0.348416781871731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728960"/>
        <c:crossesAt val="0"/>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24200735025584"/>
          <c:y val="8.1224343580324737E-2"/>
          <c:w val="0.71816782456936468"/>
          <c:h val="0.78516865460980567"/>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#REF!$X$30:$X$50</c:f>
            </c:numRef>
          </c:xVal>
          <c:yVal>
            <c:numRef>
              <c:f>#REF!$Y$30:$Y$50</c:f>
              <c:numCache>
                <c:formatCode>General</c:formatCode>
                <c:ptCount val="1"/>
                <c:pt idx="0">
                  <c:v>1</c:v>
                </c:pt>
              </c:numCache>
            </c:numRef>
          </c:yVal>
          <c:smooth val="0"/>
          <c:extLst>
            <c:ext xmlns:c16="http://schemas.microsoft.com/office/drawing/2014/chart" uri="{C3380CC4-5D6E-409C-BE32-E72D297353CC}">
              <c16:uniqueId val="{00000000-BE98-F84E-A4DC-800F83BF20DB}"/>
            </c:ext>
          </c:extLst>
        </c:ser>
        <c:dLbls>
          <c:showLegendKey val="0"/>
          <c:showVal val="0"/>
          <c:showCatName val="0"/>
          <c:showSerName val="0"/>
          <c:showPercent val="0"/>
          <c:showBubbleSize val="0"/>
        </c:dLbls>
        <c:axId val="162780288"/>
        <c:axId val="162782592"/>
      </c:scatterChart>
      <c:valAx>
        <c:axId val="16278028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3</a:t>
                </a:r>
              </a:p>
            </c:rich>
          </c:tx>
          <c:layout>
            <c:manualLayout>
              <c:xMode val="edge"/>
              <c:yMode val="edge"/>
              <c:x val="0.45872476136013723"/>
              <c:y val="0.8709055118110236"/>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782592"/>
        <c:crosses val="autoZero"/>
        <c:crossBetween val="midCat"/>
      </c:valAx>
      <c:valAx>
        <c:axId val="162782592"/>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4</a:t>
                </a:r>
              </a:p>
            </c:rich>
          </c:tx>
          <c:layout>
            <c:manualLayout>
              <c:xMode val="edge"/>
              <c:yMode val="edge"/>
              <c:x val="2.6320327277526066E-2"/>
              <c:y val="0.383559172640733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780288"/>
        <c:crosses val="autoZero"/>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188192225658587"/>
          <c:y val="8.1224343580324737E-2"/>
          <c:w val="0.71566582453134864"/>
          <c:h val="0.78516865460980567"/>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#REF!$X$30:$X$50</c:f>
            </c:numRef>
          </c:xVal>
          <c:yVal>
            <c:numRef>
              <c:f>#REF!$AF$30:$AF$50</c:f>
              <c:numCache>
                <c:formatCode>General</c:formatCode>
                <c:ptCount val="1"/>
                <c:pt idx="0">
                  <c:v>1</c:v>
                </c:pt>
              </c:numCache>
            </c:numRef>
          </c:yVal>
          <c:smooth val="0"/>
          <c:extLst>
            <c:ext xmlns:c16="http://schemas.microsoft.com/office/drawing/2014/chart" uri="{C3380CC4-5D6E-409C-BE32-E72D297353CC}">
              <c16:uniqueId val="{00000000-C3D7-FA4B-BA90-140EED13AC0E}"/>
            </c:ext>
          </c:extLst>
        </c:ser>
        <c:dLbls>
          <c:showLegendKey val="0"/>
          <c:showVal val="0"/>
          <c:showCatName val="0"/>
          <c:showSerName val="0"/>
          <c:showPercent val="0"/>
          <c:showBubbleSize val="0"/>
        </c:dLbls>
        <c:axId val="162790400"/>
        <c:axId val="163341824"/>
      </c:scatterChart>
      <c:valAx>
        <c:axId val="16279040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3</a:t>
                </a:r>
              </a:p>
            </c:rich>
          </c:tx>
          <c:layout>
            <c:manualLayout>
              <c:xMode val="edge"/>
              <c:yMode val="edge"/>
              <c:x val="0.43888915083219388"/>
              <c:y val="0.8618803619696791"/>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3341824"/>
        <c:crosses val="autoZero"/>
        <c:crossBetween val="midCat"/>
      </c:valAx>
      <c:valAx>
        <c:axId val="163341824"/>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4-3</a:t>
                </a:r>
              </a:p>
            </c:rich>
          </c:tx>
          <c:layout>
            <c:manualLayout>
              <c:xMode val="edge"/>
              <c:yMode val="edge"/>
              <c:x val="2.7677872601254185E-2"/>
              <c:y val="0.3519720296157010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790400"/>
        <c:crossesAt val="0"/>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304408930768395"/>
          <c:y val="8.1544382413305819E-2"/>
          <c:w val="0.72096957625271441"/>
          <c:h val="0.69312725051309942"/>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#REF!$Y$30:$Y$50</c:f>
            </c:numRef>
          </c:xVal>
          <c:yVal>
            <c:numRef>
              <c:f>#REF!$Z$30:$Z$50</c:f>
              <c:numCache>
                <c:formatCode>General</c:formatCode>
                <c:ptCount val="1"/>
                <c:pt idx="0">
                  <c:v>1</c:v>
                </c:pt>
              </c:numCache>
            </c:numRef>
          </c:yVal>
          <c:smooth val="0"/>
          <c:extLst>
            <c:ext xmlns:c16="http://schemas.microsoft.com/office/drawing/2014/chart" uri="{C3380CC4-5D6E-409C-BE32-E72D297353CC}">
              <c16:uniqueId val="{00000000-BA6A-2742-B78E-A025B217A5B6}"/>
            </c:ext>
          </c:extLst>
        </c:ser>
        <c:dLbls>
          <c:showLegendKey val="0"/>
          <c:showVal val="0"/>
          <c:showCatName val="0"/>
          <c:showSerName val="0"/>
          <c:showPercent val="0"/>
          <c:showBubbleSize val="0"/>
        </c:dLbls>
        <c:axId val="163447936"/>
        <c:axId val="163450240"/>
      </c:scatterChart>
      <c:valAx>
        <c:axId val="16344793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4</a:t>
                </a:r>
              </a:p>
            </c:rich>
          </c:tx>
          <c:layout>
            <c:manualLayout>
              <c:xMode val="edge"/>
              <c:yMode val="edge"/>
              <c:x val="0.45947829147054947"/>
              <c:y val="0.86980705656067803"/>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3450240"/>
        <c:crosses val="autoZero"/>
        <c:crossBetween val="midCat"/>
      </c:valAx>
      <c:valAx>
        <c:axId val="163450240"/>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5</a:t>
                </a:r>
              </a:p>
            </c:rich>
          </c:tx>
          <c:layout>
            <c:manualLayout>
              <c:xMode val="edge"/>
              <c:yMode val="edge"/>
              <c:x val="2.6149210398979456E-2"/>
              <c:y val="0.3352377231472020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3447936"/>
        <c:crosses val="autoZero"/>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188192225658587"/>
          <c:y val="8.1544382413305819E-2"/>
          <c:w val="0.71566582453134864"/>
          <c:h val="0.69312725051309942"/>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#REF!$Y$30:$Y$50</c:f>
            </c:numRef>
          </c:xVal>
          <c:yVal>
            <c:numRef>
              <c:f>#REF!$AG$30:$AG$50</c:f>
              <c:numCache>
                <c:formatCode>General</c:formatCode>
                <c:ptCount val="1"/>
                <c:pt idx="0">
                  <c:v>1</c:v>
                </c:pt>
              </c:numCache>
            </c:numRef>
          </c:yVal>
          <c:smooth val="0"/>
          <c:extLst>
            <c:ext xmlns:c16="http://schemas.microsoft.com/office/drawing/2014/chart" uri="{C3380CC4-5D6E-409C-BE32-E72D297353CC}">
              <c16:uniqueId val="{00000000-989B-E747-8B2F-96D7DC9D5567}"/>
            </c:ext>
          </c:extLst>
        </c:ser>
        <c:dLbls>
          <c:showLegendKey val="0"/>
          <c:showVal val="0"/>
          <c:showCatName val="0"/>
          <c:showSerName val="0"/>
          <c:showPercent val="0"/>
          <c:showBubbleSize val="0"/>
        </c:dLbls>
        <c:axId val="163482624"/>
        <c:axId val="163485184"/>
      </c:scatterChart>
      <c:valAx>
        <c:axId val="16348262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4</a:t>
                </a:r>
              </a:p>
            </c:rich>
          </c:tx>
          <c:layout>
            <c:manualLayout>
              <c:xMode val="edge"/>
              <c:yMode val="edge"/>
              <c:x val="0.43888920134983128"/>
              <c:y val="0.86074652882130198"/>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3485184"/>
        <c:crosses val="autoZero"/>
        <c:crossBetween val="midCat"/>
      </c:valAx>
      <c:valAx>
        <c:axId val="163485184"/>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5-4</a:t>
                </a:r>
              </a:p>
            </c:rich>
          </c:tx>
          <c:layout>
            <c:manualLayout>
              <c:xMode val="edge"/>
              <c:yMode val="edge"/>
              <c:x val="2.7678102737157855E-2"/>
              <c:y val="0.303526477129290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3482624"/>
        <c:crossesAt val="0"/>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040002590108887"/>
          <c:y val="8.2519812063575448E-2"/>
          <c:w val="0.7172339825933739"/>
          <c:h val="0.68766510052979535"/>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#REF!$Z$30:$Z$50</c:f>
            </c:numRef>
          </c:xVal>
          <c:yVal>
            <c:numRef>
              <c:f>#REF!$AA$30:$AA$50</c:f>
              <c:numCache>
                <c:formatCode>General</c:formatCode>
                <c:ptCount val="1"/>
                <c:pt idx="0">
                  <c:v>1</c:v>
                </c:pt>
              </c:numCache>
            </c:numRef>
          </c:yVal>
          <c:smooth val="0"/>
          <c:extLst>
            <c:ext xmlns:c16="http://schemas.microsoft.com/office/drawing/2014/chart" uri="{C3380CC4-5D6E-409C-BE32-E72D297353CC}">
              <c16:uniqueId val="{00000000-E862-A443-8813-8970CBB8D664}"/>
            </c:ext>
          </c:extLst>
        </c:ser>
        <c:dLbls>
          <c:showLegendKey val="0"/>
          <c:showVal val="0"/>
          <c:showCatName val="0"/>
          <c:showSerName val="0"/>
          <c:showPercent val="0"/>
          <c:showBubbleSize val="0"/>
        </c:dLbls>
        <c:axId val="163505280"/>
        <c:axId val="163507584"/>
      </c:scatterChart>
      <c:valAx>
        <c:axId val="16350528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5</a:t>
                </a:r>
              </a:p>
            </c:rich>
          </c:tx>
          <c:layout>
            <c:manualLayout>
              <c:xMode val="edge"/>
              <c:yMode val="edge"/>
              <c:x val="0.49683367791316585"/>
              <c:y val="0.8664584690071635"/>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3507584"/>
        <c:crosses val="autoZero"/>
        <c:crossBetween val="midCat"/>
      </c:valAx>
      <c:valAx>
        <c:axId val="163507584"/>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6</a:t>
                </a:r>
              </a:p>
            </c:rich>
          </c:tx>
          <c:layout>
            <c:manualLayout>
              <c:xMode val="edge"/>
              <c:yMode val="edge"/>
              <c:x val="2.6149210398979456E-2"/>
              <c:y val="0.334663430229116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3505280"/>
        <c:crosses val="autoZero"/>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537542540489988"/>
          <c:y val="7.8157767317707544E-2"/>
          <c:w val="0.71566582453134864"/>
          <c:h val="0.79026186954570943"/>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#REF!$D$30:$D$50</c:f>
            </c:numRef>
          </c:xVal>
          <c:yVal>
            <c:numRef>
              <c:f>#REF!$L$30:$L$50</c:f>
              <c:numCache>
                <c:formatCode>General</c:formatCode>
                <c:ptCount val="1"/>
                <c:pt idx="0">
                  <c:v>1</c:v>
                </c:pt>
              </c:numCache>
            </c:numRef>
          </c:yVal>
          <c:smooth val="0"/>
          <c:extLst>
            <c:ext xmlns:c16="http://schemas.microsoft.com/office/drawing/2014/chart" uri="{C3380CC4-5D6E-409C-BE32-E72D297353CC}">
              <c16:uniqueId val="{00000000-B31C-EC42-81FE-E1F34C95922F}"/>
            </c:ext>
          </c:extLst>
        </c:ser>
        <c:dLbls>
          <c:showLegendKey val="0"/>
          <c:showVal val="0"/>
          <c:showCatName val="0"/>
          <c:showSerName val="0"/>
          <c:showPercent val="0"/>
          <c:showBubbleSize val="0"/>
        </c:dLbls>
        <c:axId val="161762688"/>
        <c:axId val="161781632"/>
      </c:scatterChart>
      <c:valAx>
        <c:axId val="16176268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1</a:t>
                </a:r>
              </a:p>
            </c:rich>
          </c:tx>
          <c:layout>
            <c:manualLayout>
              <c:xMode val="edge"/>
              <c:yMode val="edge"/>
              <c:x val="0.4823824161017306"/>
              <c:y val="0.85973514674302076"/>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1781632"/>
        <c:crosses val="autoZero"/>
        <c:crossBetween val="midCat"/>
      </c:valAx>
      <c:valAx>
        <c:axId val="161781632"/>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2-1</a:t>
                </a:r>
              </a:p>
            </c:rich>
          </c:tx>
          <c:layout>
            <c:manualLayout>
              <c:xMode val="edge"/>
              <c:yMode val="edge"/>
              <c:x val="2.7678218030232852E-2"/>
              <c:y val="0.3560519795165464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1762688"/>
        <c:crossesAt val="0"/>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paperSize="9" orientation="landscape" horizontalDpi="1200" verticalDpi="1200"/>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142147057323497"/>
          <c:y val="8.2519812063575448E-2"/>
          <c:w val="0.71171186969968381"/>
          <c:h val="0.68766510052979535"/>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#REF!$Z$30:$Z$50</c:f>
            </c:numRef>
          </c:xVal>
          <c:yVal>
            <c:numRef>
              <c:f>#REF!$AH$30:$AH$50</c:f>
              <c:numCache>
                <c:formatCode>General</c:formatCode>
                <c:ptCount val="1"/>
                <c:pt idx="0">
                  <c:v>1</c:v>
                </c:pt>
              </c:numCache>
            </c:numRef>
          </c:yVal>
          <c:smooth val="0"/>
          <c:extLst>
            <c:ext xmlns:c16="http://schemas.microsoft.com/office/drawing/2014/chart" uri="{C3380CC4-5D6E-409C-BE32-E72D297353CC}">
              <c16:uniqueId val="{00000000-4064-0445-A933-47DEE849B9E0}"/>
            </c:ext>
          </c:extLst>
        </c:ser>
        <c:dLbls>
          <c:showLegendKey val="0"/>
          <c:showVal val="0"/>
          <c:showCatName val="0"/>
          <c:showSerName val="0"/>
          <c:showPercent val="0"/>
          <c:showBubbleSize val="0"/>
        </c:dLbls>
        <c:axId val="163535872"/>
        <c:axId val="163550720"/>
      </c:scatterChart>
      <c:valAx>
        <c:axId val="16353587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5</a:t>
                </a:r>
              </a:p>
            </c:rich>
          </c:tx>
          <c:layout>
            <c:manualLayout>
              <c:xMode val="edge"/>
              <c:yMode val="edge"/>
              <c:x val="0.47842847769028873"/>
              <c:y val="0.8572890888638921"/>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3550720"/>
        <c:crosses val="autoZero"/>
        <c:crossBetween val="midCat"/>
      </c:valAx>
      <c:valAx>
        <c:axId val="163550720"/>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6-5</a:t>
                </a:r>
              </a:p>
            </c:rich>
          </c:tx>
          <c:layout>
            <c:manualLayout>
              <c:xMode val="edge"/>
              <c:yMode val="edge"/>
              <c:x val="2.7678102737157855E-2"/>
              <c:y val="0.3025723758214433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3535872"/>
        <c:crossesAt val="0"/>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127043225393714"/>
          <c:y val="7.8157767317707544E-2"/>
          <c:w val="0.7201346795173591"/>
          <c:h val="0.70341990585936787"/>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#REF!$D$30:$D$50</c:f>
            </c:numRef>
          </c:xVal>
          <c:yVal>
            <c:numRef>
              <c:f>#REF!$E$30:$E$50</c:f>
              <c:numCache>
                <c:formatCode>General</c:formatCode>
                <c:ptCount val="1"/>
                <c:pt idx="0">
                  <c:v>1</c:v>
                </c:pt>
              </c:numCache>
            </c:numRef>
          </c:yVal>
          <c:smooth val="0"/>
          <c:extLst>
            <c:ext xmlns:c16="http://schemas.microsoft.com/office/drawing/2014/chart" uri="{C3380CC4-5D6E-409C-BE32-E72D297353CC}">
              <c16:uniqueId val="{00000000-D963-D342-B480-CEDAB6D858DC}"/>
            </c:ext>
          </c:extLst>
        </c:ser>
        <c:dLbls>
          <c:showLegendKey val="0"/>
          <c:showVal val="0"/>
          <c:showCatName val="0"/>
          <c:showSerName val="0"/>
          <c:showPercent val="0"/>
          <c:showBubbleSize val="0"/>
        </c:dLbls>
        <c:axId val="162261248"/>
        <c:axId val="162260480"/>
      </c:scatterChart>
      <c:valAx>
        <c:axId val="16226124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1</a:t>
                </a:r>
              </a:p>
            </c:rich>
          </c:tx>
          <c:layout>
            <c:manualLayout>
              <c:xMode val="edge"/>
              <c:yMode val="edge"/>
              <c:x val="0.49081765820939049"/>
              <c:y val="0.87276196244700177"/>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260480"/>
        <c:crosses val="autoZero"/>
        <c:crossBetween val="midCat"/>
      </c:valAx>
      <c:valAx>
        <c:axId val="162260480"/>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2</a:t>
                </a:r>
              </a:p>
            </c:rich>
          </c:tx>
          <c:layout>
            <c:manualLayout>
              <c:xMode val="edge"/>
              <c:yMode val="edge"/>
              <c:x val="2.8161271507728201E-2"/>
              <c:y val="0.3430257144430373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261248"/>
        <c:crosses val="autoZero"/>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537542540489988"/>
          <c:y val="7.8157767317707544E-2"/>
          <c:w val="0.71566582453134864"/>
          <c:h val="0.79026186954570943"/>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#REF!$D$30:$D$50</c:f>
            </c:numRef>
          </c:xVal>
          <c:yVal>
            <c:numRef>
              <c:f>#REF!$L$30:$L$50</c:f>
              <c:numCache>
                <c:formatCode>General</c:formatCode>
                <c:ptCount val="1"/>
                <c:pt idx="0">
                  <c:v>1</c:v>
                </c:pt>
              </c:numCache>
            </c:numRef>
          </c:yVal>
          <c:smooth val="0"/>
          <c:extLst>
            <c:ext xmlns:c16="http://schemas.microsoft.com/office/drawing/2014/chart" uri="{C3380CC4-5D6E-409C-BE32-E72D297353CC}">
              <c16:uniqueId val="{00000000-6836-D448-9FE3-952B73830AAD}"/>
            </c:ext>
          </c:extLst>
        </c:ser>
        <c:dLbls>
          <c:showLegendKey val="0"/>
          <c:showVal val="0"/>
          <c:showCatName val="0"/>
          <c:showSerName val="0"/>
          <c:showPercent val="0"/>
          <c:showBubbleSize val="0"/>
        </c:dLbls>
        <c:axId val="161762688"/>
        <c:axId val="161781632"/>
      </c:scatterChart>
      <c:valAx>
        <c:axId val="16176268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1</a:t>
                </a:r>
              </a:p>
            </c:rich>
          </c:tx>
          <c:layout>
            <c:manualLayout>
              <c:xMode val="edge"/>
              <c:yMode val="edge"/>
              <c:x val="0.4823824161017306"/>
              <c:y val="0.85973514674302076"/>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1781632"/>
        <c:crosses val="autoZero"/>
        <c:crossBetween val="midCat"/>
      </c:valAx>
      <c:valAx>
        <c:axId val="161781632"/>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2-1</a:t>
                </a:r>
              </a:p>
            </c:rich>
          </c:tx>
          <c:layout>
            <c:manualLayout>
              <c:xMode val="edge"/>
              <c:yMode val="edge"/>
              <c:x val="2.7678218030232852E-2"/>
              <c:y val="0.3560519795165464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1762688"/>
        <c:crossesAt val="0"/>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paperSize="9" orientation="landscape" horizontalDpi="1200" verticalDpi="1200"/>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127043225393714"/>
          <c:y val="8.1224343580324737E-2"/>
          <c:w val="0.7201346795173591"/>
          <c:h val="0.69491938396500053"/>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#REF!$E$30:$E$50</c:f>
            </c:numRef>
          </c:xVal>
          <c:yVal>
            <c:numRef>
              <c:f>#REF!$F$30:$F$50</c:f>
              <c:numCache>
                <c:formatCode>General</c:formatCode>
                <c:ptCount val="1"/>
                <c:pt idx="0">
                  <c:v>1</c:v>
                </c:pt>
              </c:numCache>
            </c:numRef>
          </c:yVal>
          <c:smooth val="0"/>
          <c:extLst>
            <c:ext xmlns:c16="http://schemas.microsoft.com/office/drawing/2014/chart" uri="{C3380CC4-5D6E-409C-BE32-E72D297353CC}">
              <c16:uniqueId val="{00000000-05C2-E341-AB06-A37A9CCCA19F}"/>
            </c:ext>
          </c:extLst>
        </c:ser>
        <c:dLbls>
          <c:showLegendKey val="0"/>
          <c:showVal val="0"/>
          <c:showCatName val="0"/>
          <c:showSerName val="0"/>
          <c:showPercent val="0"/>
          <c:showBubbleSize val="0"/>
        </c:dLbls>
        <c:axId val="161793536"/>
        <c:axId val="162082816"/>
      </c:scatterChart>
      <c:valAx>
        <c:axId val="16179353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2</a:t>
                </a:r>
              </a:p>
            </c:rich>
          </c:tx>
          <c:layout>
            <c:manualLayout>
              <c:xMode val="edge"/>
              <c:yMode val="edge"/>
              <c:x val="0.49081765820939049"/>
              <c:y val="0.87090522018081074"/>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082816"/>
        <c:crosses val="autoZero"/>
        <c:crossBetween val="midCat"/>
      </c:valAx>
      <c:valAx>
        <c:axId val="162082816"/>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3</a:t>
                </a:r>
              </a:p>
            </c:rich>
          </c:tx>
          <c:layout>
            <c:manualLayout>
              <c:xMode val="edge"/>
              <c:yMode val="edge"/>
              <c:x val="2.8161271507728201E-2"/>
              <c:y val="0.3384345290172061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1793536"/>
        <c:crosses val="autoZero"/>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537542540489988"/>
          <c:y val="8.1224343580324737E-2"/>
          <c:w val="0.71566582453134864"/>
          <c:h val="0.78516865460980567"/>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#REF!$E$30:$E$50</c:f>
            </c:numRef>
          </c:xVal>
          <c:yVal>
            <c:numRef>
              <c:f>#REF!$M$30:$M$50</c:f>
              <c:numCache>
                <c:formatCode>General</c:formatCode>
                <c:ptCount val="1"/>
                <c:pt idx="0">
                  <c:v>1</c:v>
                </c:pt>
              </c:numCache>
            </c:numRef>
          </c:yVal>
          <c:smooth val="0"/>
          <c:extLst>
            <c:ext xmlns:c16="http://schemas.microsoft.com/office/drawing/2014/chart" uri="{C3380CC4-5D6E-409C-BE32-E72D297353CC}">
              <c16:uniqueId val="{00000000-4438-8C4D-803E-F887BED640E7}"/>
            </c:ext>
          </c:extLst>
        </c:ser>
        <c:dLbls>
          <c:showLegendKey val="0"/>
          <c:showVal val="0"/>
          <c:showCatName val="0"/>
          <c:showSerName val="0"/>
          <c:showPercent val="0"/>
          <c:showBubbleSize val="0"/>
        </c:dLbls>
        <c:axId val="162098560"/>
        <c:axId val="162121600"/>
      </c:scatterChart>
      <c:valAx>
        <c:axId val="16209856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2</a:t>
                </a:r>
              </a:p>
            </c:rich>
          </c:tx>
          <c:layout>
            <c:manualLayout>
              <c:xMode val="edge"/>
              <c:yMode val="edge"/>
              <c:x val="0.4823824161017306"/>
              <c:y val="0.8618804316127151"/>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121600"/>
        <c:crosses val="autoZero"/>
        <c:crossBetween val="midCat"/>
      </c:valAx>
      <c:valAx>
        <c:axId val="162121600"/>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3-2</a:t>
                </a:r>
              </a:p>
            </c:rich>
          </c:tx>
          <c:layout>
            <c:manualLayout>
              <c:xMode val="edge"/>
              <c:yMode val="edge"/>
              <c:x val="2.7678218030232852E-2"/>
              <c:y val="0.3519720034995625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098560"/>
        <c:crossesAt val="0"/>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127043225393714"/>
          <c:y val="8.4542193552751874E-2"/>
          <c:w val="0.7201346795173591"/>
          <c:h val="0.68103433695272331"/>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#REF!$F$30:$F$50</c:f>
            </c:numRef>
          </c:xVal>
          <c:yVal>
            <c:numRef>
              <c:f>#REF!$G$30:$G$50</c:f>
              <c:numCache>
                <c:formatCode>General</c:formatCode>
                <c:ptCount val="1"/>
                <c:pt idx="0">
                  <c:v>1</c:v>
                </c:pt>
              </c:numCache>
            </c:numRef>
          </c:yVal>
          <c:smooth val="0"/>
          <c:extLst>
            <c:ext xmlns:c16="http://schemas.microsoft.com/office/drawing/2014/chart" uri="{C3380CC4-5D6E-409C-BE32-E72D297353CC}">
              <c16:uniqueId val="{00000000-7FCA-C246-8A5D-D0ED48190866}"/>
            </c:ext>
          </c:extLst>
        </c:ser>
        <c:dLbls>
          <c:showLegendKey val="0"/>
          <c:showVal val="0"/>
          <c:showCatName val="0"/>
          <c:showSerName val="0"/>
          <c:showPercent val="0"/>
          <c:showBubbleSize val="0"/>
        </c:dLbls>
        <c:axId val="162809344"/>
        <c:axId val="162811904"/>
      </c:scatterChart>
      <c:valAx>
        <c:axId val="16280934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3</a:t>
                </a:r>
              </a:p>
            </c:rich>
          </c:tx>
          <c:layout>
            <c:manualLayout>
              <c:xMode val="edge"/>
              <c:yMode val="edge"/>
              <c:x val="0.49081765820939049"/>
              <c:y val="0.8642089074803149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811904"/>
        <c:crosses val="autoZero"/>
        <c:crossBetween val="midCat"/>
      </c:valAx>
      <c:valAx>
        <c:axId val="162811904"/>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4</a:t>
                </a:r>
              </a:p>
            </c:rich>
          </c:tx>
          <c:layout>
            <c:manualLayout>
              <c:xMode val="edge"/>
              <c:yMode val="edge"/>
              <c:x val="2.8161271507728201E-2"/>
              <c:y val="0.3287752214566929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809344"/>
        <c:crosses val="autoZero"/>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374378675158058"/>
          <c:y val="8.4542193552751874E-2"/>
          <c:w val="0.74729746318466794"/>
          <c:h val="0.77497010756689211"/>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#REF!$F$30:$F$50</c:f>
            </c:numRef>
          </c:xVal>
          <c:yVal>
            <c:numRef>
              <c:f>#REF!$N$30:$N$50</c:f>
              <c:numCache>
                <c:formatCode>General</c:formatCode>
                <c:ptCount val="1"/>
                <c:pt idx="0">
                  <c:v>1</c:v>
                </c:pt>
              </c:numCache>
            </c:numRef>
          </c:yVal>
          <c:smooth val="0"/>
          <c:extLst>
            <c:ext xmlns:c16="http://schemas.microsoft.com/office/drawing/2014/chart" uri="{C3380CC4-5D6E-409C-BE32-E72D297353CC}">
              <c16:uniqueId val="{00000000-D687-EA49-B944-AC15E133A6BA}"/>
            </c:ext>
          </c:extLst>
        </c:ser>
        <c:dLbls>
          <c:showLegendKey val="0"/>
          <c:showVal val="0"/>
          <c:showCatName val="0"/>
          <c:showSerName val="0"/>
          <c:showPercent val="0"/>
          <c:showBubbleSize val="0"/>
        </c:dLbls>
        <c:axId val="162831360"/>
        <c:axId val="162846208"/>
      </c:scatterChart>
      <c:valAx>
        <c:axId val="16283136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3</a:t>
                </a:r>
              </a:p>
            </c:rich>
          </c:tx>
          <c:layout>
            <c:manualLayout>
              <c:xMode val="edge"/>
              <c:yMode val="edge"/>
              <c:x val="0.46656659227756958"/>
              <c:y val="0.8548154527559055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846208"/>
        <c:crosses val="autoZero"/>
        <c:crossBetween val="midCat"/>
      </c:valAx>
      <c:valAx>
        <c:axId val="162846208"/>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4-3</a:t>
                </a:r>
              </a:p>
            </c:rich>
          </c:tx>
          <c:layout>
            <c:manualLayout>
              <c:xMode val="edge"/>
              <c:yMode val="edge"/>
              <c:x val="2.7678218030232852E-2"/>
              <c:y val="0.3428654035433070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831360"/>
        <c:crossesAt val="0"/>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73628273269508"/>
          <c:y val="7.9969644046069752E-2"/>
          <c:w val="0.70404228444434547"/>
          <c:h val="0.69751300640183056"/>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#REF!$G$30:$G$50</c:f>
            </c:numRef>
          </c:xVal>
          <c:yVal>
            <c:numRef>
              <c:f>#REF!$H$30:$H$50</c:f>
              <c:numCache>
                <c:formatCode>General</c:formatCode>
                <c:ptCount val="1"/>
                <c:pt idx="0">
                  <c:v>1</c:v>
                </c:pt>
              </c:numCache>
            </c:numRef>
          </c:yVal>
          <c:smooth val="0"/>
          <c:extLst>
            <c:ext xmlns:c16="http://schemas.microsoft.com/office/drawing/2014/chart" uri="{C3380CC4-5D6E-409C-BE32-E72D297353CC}">
              <c16:uniqueId val="{00000000-EDEC-844A-A336-3A8B8B85FE39}"/>
            </c:ext>
          </c:extLst>
        </c:ser>
        <c:dLbls>
          <c:showLegendKey val="0"/>
          <c:showVal val="0"/>
          <c:showCatName val="0"/>
          <c:showSerName val="0"/>
          <c:showPercent val="0"/>
          <c:showBubbleSize val="0"/>
        </c:dLbls>
        <c:axId val="162874496"/>
        <c:axId val="162876800"/>
      </c:scatterChart>
      <c:valAx>
        <c:axId val="16287449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4</a:t>
                </a:r>
              </a:p>
            </c:rich>
          </c:tx>
          <c:layout>
            <c:manualLayout>
              <c:xMode val="edge"/>
              <c:yMode val="edge"/>
              <c:x val="0.4988641003207932"/>
              <c:y val="0.8707804024496937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876800"/>
        <c:crosses val="autoZero"/>
        <c:crossBetween val="midCat"/>
      </c:valAx>
      <c:valAx>
        <c:axId val="162876800"/>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5</a:t>
                </a:r>
              </a:p>
            </c:rich>
          </c:tx>
          <c:layout>
            <c:manualLayout>
              <c:xMode val="edge"/>
              <c:yMode val="edge"/>
              <c:x val="2.8161271507728201E-2"/>
              <c:y val="0.3376494604841061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874496"/>
        <c:crosses val="autoZero"/>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142147057323497"/>
          <c:y val="7.9969644046069752E-2"/>
          <c:w val="0.71961977936301358"/>
          <c:h val="0.69751300640183056"/>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#REF!$G$30:$G$50</c:f>
            </c:numRef>
          </c:xVal>
          <c:yVal>
            <c:numRef>
              <c:f>#REF!$O$30:$O$50</c:f>
              <c:numCache>
                <c:formatCode>General</c:formatCode>
                <c:ptCount val="1"/>
                <c:pt idx="0">
                  <c:v>1</c:v>
                </c:pt>
              </c:numCache>
            </c:numRef>
          </c:yVal>
          <c:smooth val="0"/>
          <c:extLst>
            <c:ext xmlns:c16="http://schemas.microsoft.com/office/drawing/2014/chart" uri="{C3380CC4-5D6E-409C-BE32-E72D297353CC}">
              <c16:uniqueId val="{00000000-4F47-4743-BDFF-4C18AC04332A}"/>
            </c:ext>
          </c:extLst>
        </c:ser>
        <c:dLbls>
          <c:showLegendKey val="0"/>
          <c:showVal val="0"/>
          <c:showCatName val="0"/>
          <c:showSerName val="0"/>
          <c:showPercent val="0"/>
          <c:showBubbleSize val="0"/>
        </c:dLbls>
        <c:axId val="162896896"/>
        <c:axId val="162919936"/>
      </c:scatterChart>
      <c:valAx>
        <c:axId val="16289689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4</a:t>
                </a:r>
              </a:p>
            </c:rich>
          </c:tx>
          <c:layout>
            <c:manualLayout>
              <c:xMode val="edge"/>
              <c:yMode val="edge"/>
              <c:x val="0.4823824161017306"/>
              <c:y val="0.8618950131233595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919936"/>
        <c:crosses val="autoZero"/>
        <c:crossBetween val="midCat"/>
      </c:valAx>
      <c:valAx>
        <c:axId val="162919936"/>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5-4</a:t>
                </a:r>
              </a:p>
            </c:rich>
          </c:tx>
          <c:layout>
            <c:manualLayout>
              <c:xMode val="edge"/>
              <c:yMode val="edge"/>
              <c:x val="2.7678218030232852E-2"/>
              <c:y val="0.306550597841936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896896"/>
        <c:crossesAt val="0"/>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73628273269508"/>
          <c:y val="8.2192277138814385E-2"/>
          <c:w val="0.69599608690783865"/>
          <c:h val="0.68950188044227612"/>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#REF!$H$30:$H$50</c:f>
            </c:numRef>
          </c:xVal>
          <c:yVal>
            <c:numRef>
              <c:f>#REF!$I$30:$I$50</c:f>
              <c:numCache>
                <c:formatCode>General</c:formatCode>
                <c:ptCount val="1"/>
                <c:pt idx="0">
                  <c:v>1</c:v>
                </c:pt>
              </c:numCache>
            </c:numRef>
          </c:yVal>
          <c:smooth val="0"/>
          <c:extLst>
            <c:ext xmlns:c16="http://schemas.microsoft.com/office/drawing/2014/chart" uri="{C3380CC4-5D6E-409C-BE32-E72D297353CC}">
              <c16:uniqueId val="{00000000-3B14-C64F-9CE5-6BD91915B3F4}"/>
            </c:ext>
          </c:extLst>
        </c:ser>
        <c:dLbls>
          <c:showLegendKey val="0"/>
          <c:showVal val="0"/>
          <c:showCatName val="0"/>
          <c:showSerName val="0"/>
          <c:showPercent val="0"/>
          <c:showBubbleSize val="0"/>
        </c:dLbls>
        <c:axId val="162944128"/>
        <c:axId val="162946432"/>
      </c:scatterChart>
      <c:valAx>
        <c:axId val="16294412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5</a:t>
                </a:r>
              </a:p>
            </c:rich>
          </c:tx>
          <c:layout>
            <c:manualLayout>
              <c:xMode val="edge"/>
              <c:yMode val="edge"/>
              <c:x val="0.49484179060950712"/>
              <c:y val="0.8675849011240007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946432"/>
        <c:crosses val="autoZero"/>
        <c:crossBetween val="midCat"/>
      </c:valAx>
      <c:valAx>
        <c:axId val="162946432"/>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6</a:t>
                </a:r>
              </a:p>
            </c:rich>
          </c:tx>
          <c:layout>
            <c:manualLayout>
              <c:xMode val="edge"/>
              <c:yMode val="edge"/>
              <c:x val="2.8161271507728201E-2"/>
              <c:y val="0.3333353368996814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944128"/>
        <c:crosses val="autoZero"/>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127043225393714"/>
          <c:y val="8.1224343580324737E-2"/>
          <c:w val="0.7201346795173591"/>
          <c:h val="0.69491938396500053"/>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#REF!$E$30:$E$50</c:f>
            </c:numRef>
          </c:xVal>
          <c:yVal>
            <c:numRef>
              <c:f>#REF!$F$30:$F$50</c:f>
              <c:numCache>
                <c:formatCode>General</c:formatCode>
                <c:ptCount val="1"/>
                <c:pt idx="0">
                  <c:v>1</c:v>
                </c:pt>
              </c:numCache>
            </c:numRef>
          </c:yVal>
          <c:smooth val="0"/>
          <c:extLst>
            <c:ext xmlns:c16="http://schemas.microsoft.com/office/drawing/2014/chart" uri="{C3380CC4-5D6E-409C-BE32-E72D297353CC}">
              <c16:uniqueId val="{00000000-BC8D-8C41-BA59-36BCB8F58901}"/>
            </c:ext>
          </c:extLst>
        </c:ser>
        <c:dLbls>
          <c:showLegendKey val="0"/>
          <c:showVal val="0"/>
          <c:showCatName val="0"/>
          <c:showSerName val="0"/>
          <c:showPercent val="0"/>
          <c:showBubbleSize val="0"/>
        </c:dLbls>
        <c:axId val="161793536"/>
        <c:axId val="162082816"/>
      </c:scatterChart>
      <c:valAx>
        <c:axId val="16179353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2</a:t>
                </a:r>
              </a:p>
            </c:rich>
          </c:tx>
          <c:layout>
            <c:manualLayout>
              <c:xMode val="edge"/>
              <c:yMode val="edge"/>
              <c:x val="0.49081765820939049"/>
              <c:y val="0.87090522018081074"/>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082816"/>
        <c:crosses val="autoZero"/>
        <c:crossBetween val="midCat"/>
      </c:valAx>
      <c:valAx>
        <c:axId val="162082816"/>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3</a:t>
                </a:r>
              </a:p>
            </c:rich>
          </c:tx>
          <c:layout>
            <c:manualLayout>
              <c:xMode val="edge"/>
              <c:yMode val="edge"/>
              <c:x val="2.8161271507728201E-2"/>
              <c:y val="0.3384345290172061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1793536"/>
        <c:crosses val="autoZero"/>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142147057323497"/>
          <c:y val="8.2192277138814385E-2"/>
          <c:w val="0.71171186969968381"/>
          <c:h val="0.68950188044227612"/>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#REF!$H$30:$H$50</c:f>
            </c:numRef>
          </c:xVal>
          <c:yVal>
            <c:numRef>
              <c:f>#REF!$P$30:$P$50</c:f>
              <c:numCache>
                <c:formatCode>General</c:formatCode>
                <c:ptCount val="1"/>
                <c:pt idx="0">
                  <c:v>1</c:v>
                </c:pt>
              </c:numCache>
            </c:numRef>
          </c:yVal>
          <c:smooth val="0"/>
          <c:extLst>
            <c:ext xmlns:c16="http://schemas.microsoft.com/office/drawing/2014/chart" uri="{C3380CC4-5D6E-409C-BE32-E72D297353CC}">
              <c16:uniqueId val="{00000000-BE67-0647-9772-EE5749677F3C}"/>
            </c:ext>
          </c:extLst>
        </c:ser>
        <c:dLbls>
          <c:showLegendKey val="0"/>
          <c:showVal val="0"/>
          <c:showCatName val="0"/>
          <c:showSerName val="0"/>
          <c:showPercent val="0"/>
          <c:showBubbleSize val="0"/>
        </c:dLbls>
        <c:axId val="162982912"/>
        <c:axId val="162985472"/>
      </c:scatterChart>
      <c:valAx>
        <c:axId val="16298291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5</a:t>
                </a:r>
              </a:p>
            </c:rich>
          </c:tx>
          <c:layout>
            <c:manualLayout>
              <c:xMode val="edge"/>
              <c:yMode val="edge"/>
              <c:x val="0.47842856541328055"/>
              <c:y val="0.8584528460659974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985472"/>
        <c:crosses val="autoZero"/>
        <c:crossBetween val="midCat"/>
      </c:valAx>
      <c:valAx>
        <c:axId val="162985472"/>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6-5</a:t>
                </a:r>
              </a:p>
            </c:rich>
          </c:tx>
          <c:layout>
            <c:manualLayout>
              <c:xMode val="edge"/>
              <c:yMode val="edge"/>
              <c:x val="2.7678218030232852E-2"/>
              <c:y val="0.301371641521909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982912"/>
        <c:crossesAt val="0"/>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24200735025584"/>
          <c:y val="7.9053060252921969E-2"/>
          <c:w val="0.71816782456936468"/>
          <c:h val="0.79053060252921969"/>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#REF!$V$30:$V$50</c:f>
            </c:numRef>
          </c:xVal>
          <c:yVal>
            <c:numRef>
              <c:f>#REF!$W$30:$W$50</c:f>
              <c:numCache>
                <c:formatCode>General</c:formatCode>
                <c:ptCount val="1"/>
                <c:pt idx="0">
                  <c:v>1</c:v>
                </c:pt>
              </c:numCache>
            </c:numRef>
          </c:yVal>
          <c:smooth val="0"/>
          <c:extLst>
            <c:ext xmlns:c16="http://schemas.microsoft.com/office/drawing/2014/chart" uri="{C3380CC4-5D6E-409C-BE32-E72D297353CC}">
              <c16:uniqueId val="{00000000-33C9-E045-887A-175189D12377}"/>
            </c:ext>
          </c:extLst>
        </c:ser>
        <c:dLbls>
          <c:showLegendKey val="0"/>
          <c:showVal val="0"/>
          <c:showCatName val="0"/>
          <c:showSerName val="0"/>
          <c:showPercent val="0"/>
          <c:showBubbleSize val="0"/>
        </c:dLbls>
        <c:axId val="163017856"/>
        <c:axId val="163020160"/>
      </c:scatterChart>
      <c:valAx>
        <c:axId val="16301785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1</a:t>
                </a:r>
              </a:p>
            </c:rich>
          </c:tx>
          <c:layout>
            <c:manualLayout>
              <c:xMode val="edge"/>
              <c:yMode val="edge"/>
              <c:x val="0.45872476136013723"/>
              <c:y val="0.87397609873233939"/>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3020160"/>
        <c:crosses val="autoZero"/>
        <c:crossBetween val="midCat"/>
      </c:valAx>
      <c:valAx>
        <c:axId val="163020160"/>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2</a:t>
                </a:r>
              </a:p>
            </c:rich>
          </c:tx>
          <c:layout>
            <c:manualLayout>
              <c:xMode val="edge"/>
              <c:yMode val="edge"/>
              <c:x val="2.6320327277526066E-2"/>
              <c:y val="0.3864818227508795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3017856"/>
        <c:crosses val="autoZero"/>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188192225658587"/>
          <c:y val="7.9053060252921969E-2"/>
          <c:w val="0.71566582453134864"/>
          <c:h val="0.79053060252921969"/>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#REF!$V$30:$V$50</c:f>
            </c:numRef>
          </c:xVal>
          <c:yVal>
            <c:numRef>
              <c:f>#REF!$AD$30:$AD$50</c:f>
              <c:numCache>
                <c:formatCode>General</c:formatCode>
                <c:ptCount val="1"/>
                <c:pt idx="0">
                  <c:v>1</c:v>
                </c:pt>
              </c:numCache>
            </c:numRef>
          </c:yVal>
          <c:smooth val="0"/>
          <c:extLst>
            <c:ext xmlns:c16="http://schemas.microsoft.com/office/drawing/2014/chart" uri="{C3380CC4-5D6E-409C-BE32-E72D297353CC}">
              <c16:uniqueId val="{00000000-9976-E64C-A6A1-9F21D033D52E}"/>
            </c:ext>
          </c:extLst>
        </c:ser>
        <c:dLbls>
          <c:showLegendKey val="0"/>
          <c:showVal val="0"/>
          <c:showCatName val="0"/>
          <c:showSerName val="0"/>
          <c:showPercent val="0"/>
          <c:showBubbleSize val="0"/>
        </c:dLbls>
        <c:axId val="162671616"/>
        <c:axId val="162682368"/>
      </c:scatterChart>
      <c:valAx>
        <c:axId val="16267161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1</a:t>
                </a:r>
              </a:p>
            </c:rich>
          </c:tx>
          <c:layout>
            <c:manualLayout>
              <c:xMode val="edge"/>
              <c:yMode val="edge"/>
              <c:x val="0.43888915083219388"/>
              <c:y val="0.86080024571396652"/>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682368"/>
        <c:crosses val="autoZero"/>
        <c:crossBetween val="midCat"/>
      </c:valAx>
      <c:valAx>
        <c:axId val="162682368"/>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2-1</a:t>
                </a:r>
              </a:p>
            </c:rich>
          </c:tx>
          <c:layout>
            <c:manualLayout>
              <c:xMode val="edge"/>
              <c:yMode val="edge"/>
              <c:x val="2.7677872601254185E-2"/>
              <c:y val="0.355738538001898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671616"/>
        <c:crossesAt val="0"/>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24200735025584"/>
          <c:y val="8.2519812063575448E-2"/>
          <c:w val="0.71816782456936468"/>
          <c:h val="0.7793537806004347"/>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#REF!$W$30:$W$50</c:f>
            </c:numRef>
          </c:xVal>
          <c:yVal>
            <c:numRef>
              <c:f>#REF!$X$30:$X$50</c:f>
              <c:numCache>
                <c:formatCode>General</c:formatCode>
                <c:ptCount val="1"/>
                <c:pt idx="0">
                  <c:v>1</c:v>
                </c:pt>
              </c:numCache>
            </c:numRef>
          </c:yVal>
          <c:smooth val="0"/>
          <c:extLst>
            <c:ext xmlns:c16="http://schemas.microsoft.com/office/drawing/2014/chart" uri="{C3380CC4-5D6E-409C-BE32-E72D297353CC}">
              <c16:uniqueId val="{00000000-CC7C-7C41-BFDF-B1B52DF06E71}"/>
            </c:ext>
          </c:extLst>
        </c:ser>
        <c:dLbls>
          <c:showLegendKey val="0"/>
          <c:showVal val="0"/>
          <c:showCatName val="0"/>
          <c:showSerName val="0"/>
          <c:showPercent val="0"/>
          <c:showBubbleSize val="0"/>
        </c:dLbls>
        <c:axId val="162710656"/>
        <c:axId val="162712960"/>
      </c:scatterChart>
      <c:valAx>
        <c:axId val="16271065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2</a:t>
                </a:r>
              </a:p>
            </c:rich>
          </c:tx>
          <c:layout>
            <c:manualLayout>
              <c:xMode val="edge"/>
              <c:yMode val="edge"/>
              <c:x val="0.45872476136013723"/>
              <c:y val="0.86645849612309911"/>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712960"/>
        <c:crosses val="autoZero"/>
        <c:crossBetween val="midCat"/>
      </c:valAx>
      <c:valAx>
        <c:axId val="162712960"/>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3</a:t>
                </a:r>
              </a:p>
            </c:rich>
          </c:tx>
          <c:layout>
            <c:manualLayout>
              <c:xMode val="edge"/>
              <c:yMode val="edge"/>
              <c:x val="2.6320327277526066E-2"/>
              <c:y val="0.3805079040692432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710656"/>
        <c:crosses val="autoZero"/>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188192225658587"/>
          <c:y val="8.2519812063575448E-2"/>
          <c:w val="0.71566582453134864"/>
          <c:h val="0.7793537806004347"/>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#REF!$W$30:$W$50</c:f>
            </c:numRef>
          </c:xVal>
          <c:yVal>
            <c:numRef>
              <c:f>#REF!$AE$30:$AE$50</c:f>
              <c:numCache>
                <c:formatCode>General</c:formatCode>
                <c:ptCount val="1"/>
                <c:pt idx="0">
                  <c:v>1</c:v>
                </c:pt>
              </c:numCache>
            </c:numRef>
          </c:yVal>
          <c:smooth val="0"/>
          <c:extLst>
            <c:ext xmlns:c16="http://schemas.microsoft.com/office/drawing/2014/chart" uri="{C3380CC4-5D6E-409C-BE32-E72D297353CC}">
              <c16:uniqueId val="{00000000-0985-1040-9DD2-7E2DD1D5D338}"/>
            </c:ext>
          </c:extLst>
        </c:ser>
        <c:dLbls>
          <c:showLegendKey val="0"/>
          <c:showVal val="0"/>
          <c:showCatName val="0"/>
          <c:showSerName val="0"/>
          <c:showPercent val="0"/>
          <c:showBubbleSize val="0"/>
        </c:dLbls>
        <c:axId val="162728960"/>
        <c:axId val="162743808"/>
      </c:scatterChart>
      <c:valAx>
        <c:axId val="16272896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2</a:t>
                </a:r>
              </a:p>
            </c:rich>
          </c:tx>
          <c:layout>
            <c:manualLayout>
              <c:xMode val="edge"/>
              <c:yMode val="edge"/>
              <c:x val="0.43888915083219388"/>
              <c:y val="0.85728917473102118"/>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743808"/>
        <c:crosses val="autoZero"/>
        <c:crossBetween val="midCat"/>
      </c:valAx>
      <c:valAx>
        <c:axId val="162743808"/>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3-2</a:t>
                </a:r>
              </a:p>
            </c:rich>
          </c:tx>
          <c:layout>
            <c:manualLayout>
              <c:xMode val="edge"/>
              <c:yMode val="edge"/>
              <c:x val="2.7677872601254185E-2"/>
              <c:y val="0.348416781871731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728960"/>
        <c:crossesAt val="0"/>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24200735025584"/>
          <c:y val="8.1224343580324737E-2"/>
          <c:w val="0.71816782456936468"/>
          <c:h val="0.78516865460980567"/>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#REF!$X$30:$X$50</c:f>
            </c:numRef>
          </c:xVal>
          <c:yVal>
            <c:numRef>
              <c:f>#REF!$Y$30:$Y$50</c:f>
              <c:numCache>
                <c:formatCode>General</c:formatCode>
                <c:ptCount val="1"/>
                <c:pt idx="0">
                  <c:v>1</c:v>
                </c:pt>
              </c:numCache>
            </c:numRef>
          </c:yVal>
          <c:smooth val="0"/>
          <c:extLst>
            <c:ext xmlns:c16="http://schemas.microsoft.com/office/drawing/2014/chart" uri="{C3380CC4-5D6E-409C-BE32-E72D297353CC}">
              <c16:uniqueId val="{00000000-4436-9D45-BDE6-B5420A02633E}"/>
            </c:ext>
          </c:extLst>
        </c:ser>
        <c:dLbls>
          <c:showLegendKey val="0"/>
          <c:showVal val="0"/>
          <c:showCatName val="0"/>
          <c:showSerName val="0"/>
          <c:showPercent val="0"/>
          <c:showBubbleSize val="0"/>
        </c:dLbls>
        <c:axId val="162780288"/>
        <c:axId val="162782592"/>
      </c:scatterChart>
      <c:valAx>
        <c:axId val="16278028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3</a:t>
                </a:r>
              </a:p>
            </c:rich>
          </c:tx>
          <c:layout>
            <c:manualLayout>
              <c:xMode val="edge"/>
              <c:yMode val="edge"/>
              <c:x val="0.45872476136013723"/>
              <c:y val="0.8709055118110236"/>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782592"/>
        <c:crosses val="autoZero"/>
        <c:crossBetween val="midCat"/>
      </c:valAx>
      <c:valAx>
        <c:axId val="162782592"/>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4</a:t>
                </a:r>
              </a:p>
            </c:rich>
          </c:tx>
          <c:layout>
            <c:manualLayout>
              <c:xMode val="edge"/>
              <c:yMode val="edge"/>
              <c:x val="2.6320327277526066E-2"/>
              <c:y val="0.383559172640733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780288"/>
        <c:crosses val="autoZero"/>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188192225658587"/>
          <c:y val="8.1224343580324737E-2"/>
          <c:w val="0.71566582453134864"/>
          <c:h val="0.78516865460980567"/>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#REF!$X$30:$X$50</c:f>
            </c:numRef>
          </c:xVal>
          <c:yVal>
            <c:numRef>
              <c:f>#REF!$AF$30:$AF$50</c:f>
              <c:numCache>
                <c:formatCode>General</c:formatCode>
                <c:ptCount val="1"/>
                <c:pt idx="0">
                  <c:v>1</c:v>
                </c:pt>
              </c:numCache>
            </c:numRef>
          </c:yVal>
          <c:smooth val="0"/>
          <c:extLst>
            <c:ext xmlns:c16="http://schemas.microsoft.com/office/drawing/2014/chart" uri="{C3380CC4-5D6E-409C-BE32-E72D297353CC}">
              <c16:uniqueId val="{00000000-BACD-8745-8A5E-BC9E2B40F441}"/>
            </c:ext>
          </c:extLst>
        </c:ser>
        <c:dLbls>
          <c:showLegendKey val="0"/>
          <c:showVal val="0"/>
          <c:showCatName val="0"/>
          <c:showSerName val="0"/>
          <c:showPercent val="0"/>
          <c:showBubbleSize val="0"/>
        </c:dLbls>
        <c:axId val="162790400"/>
        <c:axId val="163341824"/>
      </c:scatterChart>
      <c:valAx>
        <c:axId val="16279040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3</a:t>
                </a:r>
              </a:p>
            </c:rich>
          </c:tx>
          <c:layout>
            <c:manualLayout>
              <c:xMode val="edge"/>
              <c:yMode val="edge"/>
              <c:x val="0.43888915083219388"/>
              <c:y val="0.8618803619696791"/>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3341824"/>
        <c:crosses val="autoZero"/>
        <c:crossBetween val="midCat"/>
      </c:valAx>
      <c:valAx>
        <c:axId val="163341824"/>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4-3</a:t>
                </a:r>
              </a:p>
            </c:rich>
          </c:tx>
          <c:layout>
            <c:manualLayout>
              <c:xMode val="edge"/>
              <c:yMode val="edge"/>
              <c:x val="2.7677872601254185E-2"/>
              <c:y val="0.3519720296157010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790400"/>
        <c:crossesAt val="0"/>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304408930768395"/>
          <c:y val="8.1544382413305819E-2"/>
          <c:w val="0.72096957625271441"/>
          <c:h val="0.69312725051309942"/>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#REF!$Y$30:$Y$50</c:f>
            </c:numRef>
          </c:xVal>
          <c:yVal>
            <c:numRef>
              <c:f>#REF!$Z$30:$Z$50</c:f>
              <c:numCache>
                <c:formatCode>General</c:formatCode>
                <c:ptCount val="1"/>
                <c:pt idx="0">
                  <c:v>1</c:v>
                </c:pt>
              </c:numCache>
            </c:numRef>
          </c:yVal>
          <c:smooth val="0"/>
          <c:extLst>
            <c:ext xmlns:c16="http://schemas.microsoft.com/office/drawing/2014/chart" uri="{C3380CC4-5D6E-409C-BE32-E72D297353CC}">
              <c16:uniqueId val="{00000000-B5AC-0949-89BC-22EA8AB286A3}"/>
            </c:ext>
          </c:extLst>
        </c:ser>
        <c:dLbls>
          <c:showLegendKey val="0"/>
          <c:showVal val="0"/>
          <c:showCatName val="0"/>
          <c:showSerName val="0"/>
          <c:showPercent val="0"/>
          <c:showBubbleSize val="0"/>
        </c:dLbls>
        <c:axId val="163447936"/>
        <c:axId val="163450240"/>
      </c:scatterChart>
      <c:valAx>
        <c:axId val="16344793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4</a:t>
                </a:r>
              </a:p>
            </c:rich>
          </c:tx>
          <c:layout>
            <c:manualLayout>
              <c:xMode val="edge"/>
              <c:yMode val="edge"/>
              <c:x val="0.45947829147054947"/>
              <c:y val="0.86980705656067803"/>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3450240"/>
        <c:crosses val="autoZero"/>
        <c:crossBetween val="midCat"/>
      </c:valAx>
      <c:valAx>
        <c:axId val="163450240"/>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5</a:t>
                </a:r>
              </a:p>
            </c:rich>
          </c:tx>
          <c:layout>
            <c:manualLayout>
              <c:xMode val="edge"/>
              <c:yMode val="edge"/>
              <c:x val="2.6149210398979456E-2"/>
              <c:y val="0.3352377231472020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3447936"/>
        <c:crosses val="autoZero"/>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188192225658587"/>
          <c:y val="8.1544382413305819E-2"/>
          <c:w val="0.71566582453134864"/>
          <c:h val="0.69312725051309942"/>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#REF!$Y$30:$Y$50</c:f>
            </c:numRef>
          </c:xVal>
          <c:yVal>
            <c:numRef>
              <c:f>#REF!$AG$30:$AG$50</c:f>
              <c:numCache>
                <c:formatCode>General</c:formatCode>
                <c:ptCount val="1"/>
                <c:pt idx="0">
                  <c:v>1</c:v>
                </c:pt>
              </c:numCache>
            </c:numRef>
          </c:yVal>
          <c:smooth val="0"/>
          <c:extLst>
            <c:ext xmlns:c16="http://schemas.microsoft.com/office/drawing/2014/chart" uri="{C3380CC4-5D6E-409C-BE32-E72D297353CC}">
              <c16:uniqueId val="{00000000-1725-FE4D-9210-C4C737C2D247}"/>
            </c:ext>
          </c:extLst>
        </c:ser>
        <c:dLbls>
          <c:showLegendKey val="0"/>
          <c:showVal val="0"/>
          <c:showCatName val="0"/>
          <c:showSerName val="0"/>
          <c:showPercent val="0"/>
          <c:showBubbleSize val="0"/>
        </c:dLbls>
        <c:axId val="163482624"/>
        <c:axId val="163485184"/>
      </c:scatterChart>
      <c:valAx>
        <c:axId val="16348262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4</a:t>
                </a:r>
              </a:p>
            </c:rich>
          </c:tx>
          <c:layout>
            <c:manualLayout>
              <c:xMode val="edge"/>
              <c:yMode val="edge"/>
              <c:x val="0.43888920134983128"/>
              <c:y val="0.86074652882130198"/>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3485184"/>
        <c:crosses val="autoZero"/>
        <c:crossBetween val="midCat"/>
      </c:valAx>
      <c:valAx>
        <c:axId val="163485184"/>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5-4</a:t>
                </a:r>
              </a:p>
            </c:rich>
          </c:tx>
          <c:layout>
            <c:manualLayout>
              <c:xMode val="edge"/>
              <c:yMode val="edge"/>
              <c:x val="2.7678102737157855E-2"/>
              <c:y val="0.303526477129290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3482624"/>
        <c:crossesAt val="0"/>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040002590108887"/>
          <c:y val="8.2519812063575448E-2"/>
          <c:w val="0.7172339825933739"/>
          <c:h val="0.68766510052979535"/>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#REF!$Z$30:$Z$50</c:f>
            </c:numRef>
          </c:xVal>
          <c:yVal>
            <c:numRef>
              <c:f>#REF!$AA$30:$AA$50</c:f>
              <c:numCache>
                <c:formatCode>General</c:formatCode>
                <c:ptCount val="1"/>
                <c:pt idx="0">
                  <c:v>1</c:v>
                </c:pt>
              </c:numCache>
            </c:numRef>
          </c:yVal>
          <c:smooth val="0"/>
          <c:extLst>
            <c:ext xmlns:c16="http://schemas.microsoft.com/office/drawing/2014/chart" uri="{C3380CC4-5D6E-409C-BE32-E72D297353CC}">
              <c16:uniqueId val="{00000000-CFC0-4944-95AC-E77C9C536132}"/>
            </c:ext>
          </c:extLst>
        </c:ser>
        <c:dLbls>
          <c:showLegendKey val="0"/>
          <c:showVal val="0"/>
          <c:showCatName val="0"/>
          <c:showSerName val="0"/>
          <c:showPercent val="0"/>
          <c:showBubbleSize val="0"/>
        </c:dLbls>
        <c:axId val="163505280"/>
        <c:axId val="163507584"/>
      </c:scatterChart>
      <c:valAx>
        <c:axId val="16350528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5</a:t>
                </a:r>
              </a:p>
            </c:rich>
          </c:tx>
          <c:layout>
            <c:manualLayout>
              <c:xMode val="edge"/>
              <c:yMode val="edge"/>
              <c:x val="0.49683367791316585"/>
              <c:y val="0.8664584690071635"/>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3507584"/>
        <c:crosses val="autoZero"/>
        <c:crossBetween val="midCat"/>
      </c:valAx>
      <c:valAx>
        <c:axId val="163507584"/>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6</a:t>
                </a:r>
              </a:p>
            </c:rich>
          </c:tx>
          <c:layout>
            <c:manualLayout>
              <c:xMode val="edge"/>
              <c:yMode val="edge"/>
              <c:x val="2.6149210398979456E-2"/>
              <c:y val="0.334663430229116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3505280"/>
        <c:crosses val="autoZero"/>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537542540489988"/>
          <c:y val="8.1224343580324737E-2"/>
          <c:w val="0.71566582453134864"/>
          <c:h val="0.78516865460980567"/>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#REF!$E$30:$E$50</c:f>
            </c:numRef>
          </c:xVal>
          <c:yVal>
            <c:numRef>
              <c:f>#REF!$M$30:$M$50</c:f>
              <c:numCache>
                <c:formatCode>General</c:formatCode>
                <c:ptCount val="1"/>
                <c:pt idx="0">
                  <c:v>1</c:v>
                </c:pt>
              </c:numCache>
            </c:numRef>
          </c:yVal>
          <c:smooth val="0"/>
          <c:extLst>
            <c:ext xmlns:c16="http://schemas.microsoft.com/office/drawing/2014/chart" uri="{C3380CC4-5D6E-409C-BE32-E72D297353CC}">
              <c16:uniqueId val="{00000000-6230-7440-96B6-7A2E8DD55ED8}"/>
            </c:ext>
          </c:extLst>
        </c:ser>
        <c:dLbls>
          <c:showLegendKey val="0"/>
          <c:showVal val="0"/>
          <c:showCatName val="0"/>
          <c:showSerName val="0"/>
          <c:showPercent val="0"/>
          <c:showBubbleSize val="0"/>
        </c:dLbls>
        <c:axId val="162098560"/>
        <c:axId val="162121600"/>
      </c:scatterChart>
      <c:valAx>
        <c:axId val="16209856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2</a:t>
                </a:r>
              </a:p>
            </c:rich>
          </c:tx>
          <c:layout>
            <c:manualLayout>
              <c:xMode val="edge"/>
              <c:yMode val="edge"/>
              <c:x val="0.4823824161017306"/>
              <c:y val="0.8618804316127151"/>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121600"/>
        <c:crosses val="autoZero"/>
        <c:crossBetween val="midCat"/>
      </c:valAx>
      <c:valAx>
        <c:axId val="162121600"/>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3-2</a:t>
                </a:r>
              </a:p>
            </c:rich>
          </c:tx>
          <c:layout>
            <c:manualLayout>
              <c:xMode val="edge"/>
              <c:yMode val="edge"/>
              <c:x val="2.7678218030232852E-2"/>
              <c:y val="0.3519720034995625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098560"/>
        <c:crossesAt val="0"/>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142147057323497"/>
          <c:y val="8.2519812063575448E-2"/>
          <c:w val="0.71171186969968381"/>
          <c:h val="0.68766510052979535"/>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#REF!$Z$30:$Z$50</c:f>
            </c:numRef>
          </c:xVal>
          <c:yVal>
            <c:numRef>
              <c:f>#REF!$AH$30:$AH$50</c:f>
              <c:numCache>
                <c:formatCode>General</c:formatCode>
                <c:ptCount val="1"/>
                <c:pt idx="0">
                  <c:v>1</c:v>
                </c:pt>
              </c:numCache>
            </c:numRef>
          </c:yVal>
          <c:smooth val="0"/>
          <c:extLst>
            <c:ext xmlns:c16="http://schemas.microsoft.com/office/drawing/2014/chart" uri="{C3380CC4-5D6E-409C-BE32-E72D297353CC}">
              <c16:uniqueId val="{00000000-D4B2-D144-BBB5-C932CB8935D9}"/>
            </c:ext>
          </c:extLst>
        </c:ser>
        <c:dLbls>
          <c:showLegendKey val="0"/>
          <c:showVal val="0"/>
          <c:showCatName val="0"/>
          <c:showSerName val="0"/>
          <c:showPercent val="0"/>
          <c:showBubbleSize val="0"/>
        </c:dLbls>
        <c:axId val="163535872"/>
        <c:axId val="163550720"/>
      </c:scatterChart>
      <c:valAx>
        <c:axId val="16353587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5</a:t>
                </a:r>
              </a:p>
            </c:rich>
          </c:tx>
          <c:layout>
            <c:manualLayout>
              <c:xMode val="edge"/>
              <c:yMode val="edge"/>
              <c:x val="0.47842847769028873"/>
              <c:y val="0.8572890888638921"/>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3550720"/>
        <c:crosses val="autoZero"/>
        <c:crossBetween val="midCat"/>
      </c:valAx>
      <c:valAx>
        <c:axId val="163550720"/>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6-5</a:t>
                </a:r>
              </a:p>
            </c:rich>
          </c:tx>
          <c:layout>
            <c:manualLayout>
              <c:xMode val="edge"/>
              <c:yMode val="edge"/>
              <c:x val="2.7678102737157855E-2"/>
              <c:y val="0.3025723758214433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3535872"/>
        <c:crossesAt val="0"/>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127043225393714"/>
          <c:y val="7.8157767317707544E-2"/>
          <c:w val="0.7201346795173591"/>
          <c:h val="0.70341990585936787"/>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#REF!$D$30:$D$50</c:f>
            </c:numRef>
          </c:xVal>
          <c:yVal>
            <c:numRef>
              <c:f>#REF!$E$30:$E$50</c:f>
              <c:numCache>
                <c:formatCode>General</c:formatCode>
                <c:ptCount val="1"/>
                <c:pt idx="0">
                  <c:v>1</c:v>
                </c:pt>
              </c:numCache>
            </c:numRef>
          </c:yVal>
          <c:smooth val="0"/>
          <c:extLst>
            <c:ext xmlns:c16="http://schemas.microsoft.com/office/drawing/2014/chart" uri="{C3380CC4-5D6E-409C-BE32-E72D297353CC}">
              <c16:uniqueId val="{00000000-7827-5F42-BAC0-A93A8F9C4E99}"/>
            </c:ext>
          </c:extLst>
        </c:ser>
        <c:dLbls>
          <c:showLegendKey val="0"/>
          <c:showVal val="0"/>
          <c:showCatName val="0"/>
          <c:showSerName val="0"/>
          <c:showPercent val="0"/>
          <c:showBubbleSize val="0"/>
        </c:dLbls>
        <c:axId val="162261248"/>
        <c:axId val="162260480"/>
      </c:scatterChart>
      <c:valAx>
        <c:axId val="16226124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1</a:t>
                </a:r>
              </a:p>
            </c:rich>
          </c:tx>
          <c:layout>
            <c:manualLayout>
              <c:xMode val="edge"/>
              <c:yMode val="edge"/>
              <c:x val="0.49081765820939049"/>
              <c:y val="0.87276196244700177"/>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260480"/>
        <c:crosses val="autoZero"/>
        <c:crossBetween val="midCat"/>
      </c:valAx>
      <c:valAx>
        <c:axId val="162260480"/>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2</a:t>
                </a:r>
              </a:p>
            </c:rich>
          </c:tx>
          <c:layout>
            <c:manualLayout>
              <c:xMode val="edge"/>
              <c:yMode val="edge"/>
              <c:x val="2.8161271507728201E-2"/>
              <c:y val="0.3430257144430373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261248"/>
        <c:crosses val="autoZero"/>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537542540489988"/>
          <c:y val="7.8157767317707544E-2"/>
          <c:w val="0.71566582453134864"/>
          <c:h val="0.79026186954570943"/>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#REF!$D$30:$D$50</c:f>
            </c:numRef>
          </c:xVal>
          <c:yVal>
            <c:numRef>
              <c:f>#REF!$L$30:$L$50</c:f>
              <c:numCache>
                <c:formatCode>General</c:formatCode>
                <c:ptCount val="1"/>
                <c:pt idx="0">
                  <c:v>1</c:v>
                </c:pt>
              </c:numCache>
            </c:numRef>
          </c:yVal>
          <c:smooth val="0"/>
          <c:extLst>
            <c:ext xmlns:c16="http://schemas.microsoft.com/office/drawing/2014/chart" uri="{C3380CC4-5D6E-409C-BE32-E72D297353CC}">
              <c16:uniqueId val="{00000000-2277-7347-ADC0-3203CF6BD0DE}"/>
            </c:ext>
          </c:extLst>
        </c:ser>
        <c:dLbls>
          <c:showLegendKey val="0"/>
          <c:showVal val="0"/>
          <c:showCatName val="0"/>
          <c:showSerName val="0"/>
          <c:showPercent val="0"/>
          <c:showBubbleSize val="0"/>
        </c:dLbls>
        <c:axId val="161762688"/>
        <c:axId val="161781632"/>
      </c:scatterChart>
      <c:valAx>
        <c:axId val="16176268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1</a:t>
                </a:r>
              </a:p>
            </c:rich>
          </c:tx>
          <c:layout>
            <c:manualLayout>
              <c:xMode val="edge"/>
              <c:yMode val="edge"/>
              <c:x val="0.4823824161017306"/>
              <c:y val="0.85973514674302076"/>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1781632"/>
        <c:crosses val="autoZero"/>
        <c:crossBetween val="midCat"/>
      </c:valAx>
      <c:valAx>
        <c:axId val="161781632"/>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2-1</a:t>
                </a:r>
              </a:p>
            </c:rich>
          </c:tx>
          <c:layout>
            <c:manualLayout>
              <c:xMode val="edge"/>
              <c:yMode val="edge"/>
              <c:x val="2.7678218030232852E-2"/>
              <c:y val="0.3560519795165464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1762688"/>
        <c:crossesAt val="0"/>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paperSize="9" orientation="landscape" horizontalDpi="1200" verticalDpi="1200"/>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127043225393714"/>
          <c:y val="8.1224343580324737E-2"/>
          <c:w val="0.7201346795173591"/>
          <c:h val="0.69491938396500053"/>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#REF!$E$30:$E$50</c:f>
            </c:numRef>
          </c:xVal>
          <c:yVal>
            <c:numRef>
              <c:f>#REF!$F$30:$F$50</c:f>
              <c:numCache>
                <c:formatCode>General</c:formatCode>
                <c:ptCount val="1"/>
                <c:pt idx="0">
                  <c:v>1</c:v>
                </c:pt>
              </c:numCache>
            </c:numRef>
          </c:yVal>
          <c:smooth val="0"/>
          <c:extLst>
            <c:ext xmlns:c16="http://schemas.microsoft.com/office/drawing/2014/chart" uri="{C3380CC4-5D6E-409C-BE32-E72D297353CC}">
              <c16:uniqueId val="{00000000-9149-2344-915C-58BE39DB6AA2}"/>
            </c:ext>
          </c:extLst>
        </c:ser>
        <c:dLbls>
          <c:showLegendKey val="0"/>
          <c:showVal val="0"/>
          <c:showCatName val="0"/>
          <c:showSerName val="0"/>
          <c:showPercent val="0"/>
          <c:showBubbleSize val="0"/>
        </c:dLbls>
        <c:axId val="161793536"/>
        <c:axId val="162082816"/>
      </c:scatterChart>
      <c:valAx>
        <c:axId val="16179353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2</a:t>
                </a:r>
              </a:p>
            </c:rich>
          </c:tx>
          <c:layout>
            <c:manualLayout>
              <c:xMode val="edge"/>
              <c:yMode val="edge"/>
              <c:x val="0.49081765820939049"/>
              <c:y val="0.87090522018081074"/>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082816"/>
        <c:crosses val="autoZero"/>
        <c:crossBetween val="midCat"/>
      </c:valAx>
      <c:valAx>
        <c:axId val="162082816"/>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3</a:t>
                </a:r>
              </a:p>
            </c:rich>
          </c:tx>
          <c:layout>
            <c:manualLayout>
              <c:xMode val="edge"/>
              <c:yMode val="edge"/>
              <c:x val="2.8161271507728201E-2"/>
              <c:y val="0.3384345290172061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1793536"/>
        <c:crosses val="autoZero"/>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537542540489988"/>
          <c:y val="8.1224343580324737E-2"/>
          <c:w val="0.71566582453134864"/>
          <c:h val="0.78516865460980567"/>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#REF!$E$30:$E$50</c:f>
            </c:numRef>
          </c:xVal>
          <c:yVal>
            <c:numRef>
              <c:f>#REF!$M$30:$M$50</c:f>
              <c:numCache>
                <c:formatCode>General</c:formatCode>
                <c:ptCount val="1"/>
                <c:pt idx="0">
                  <c:v>1</c:v>
                </c:pt>
              </c:numCache>
            </c:numRef>
          </c:yVal>
          <c:smooth val="0"/>
          <c:extLst>
            <c:ext xmlns:c16="http://schemas.microsoft.com/office/drawing/2014/chart" uri="{C3380CC4-5D6E-409C-BE32-E72D297353CC}">
              <c16:uniqueId val="{00000000-1054-2745-9ED9-BD244229A5EB}"/>
            </c:ext>
          </c:extLst>
        </c:ser>
        <c:dLbls>
          <c:showLegendKey val="0"/>
          <c:showVal val="0"/>
          <c:showCatName val="0"/>
          <c:showSerName val="0"/>
          <c:showPercent val="0"/>
          <c:showBubbleSize val="0"/>
        </c:dLbls>
        <c:axId val="162098560"/>
        <c:axId val="162121600"/>
      </c:scatterChart>
      <c:valAx>
        <c:axId val="16209856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2</a:t>
                </a:r>
              </a:p>
            </c:rich>
          </c:tx>
          <c:layout>
            <c:manualLayout>
              <c:xMode val="edge"/>
              <c:yMode val="edge"/>
              <c:x val="0.4823824161017306"/>
              <c:y val="0.8618804316127151"/>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121600"/>
        <c:crosses val="autoZero"/>
        <c:crossBetween val="midCat"/>
      </c:valAx>
      <c:valAx>
        <c:axId val="162121600"/>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3-2</a:t>
                </a:r>
              </a:p>
            </c:rich>
          </c:tx>
          <c:layout>
            <c:manualLayout>
              <c:xMode val="edge"/>
              <c:yMode val="edge"/>
              <c:x val="2.7678218030232852E-2"/>
              <c:y val="0.3519720034995625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098560"/>
        <c:crossesAt val="0"/>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127043225393714"/>
          <c:y val="8.4542193552751874E-2"/>
          <c:w val="0.7201346795173591"/>
          <c:h val="0.68103433695272331"/>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#REF!$F$30:$F$50</c:f>
            </c:numRef>
          </c:xVal>
          <c:yVal>
            <c:numRef>
              <c:f>#REF!$G$30:$G$50</c:f>
              <c:numCache>
                <c:formatCode>General</c:formatCode>
                <c:ptCount val="1"/>
                <c:pt idx="0">
                  <c:v>1</c:v>
                </c:pt>
              </c:numCache>
            </c:numRef>
          </c:yVal>
          <c:smooth val="0"/>
          <c:extLst>
            <c:ext xmlns:c16="http://schemas.microsoft.com/office/drawing/2014/chart" uri="{C3380CC4-5D6E-409C-BE32-E72D297353CC}">
              <c16:uniqueId val="{00000000-C9DE-A143-916F-EB37320B65FA}"/>
            </c:ext>
          </c:extLst>
        </c:ser>
        <c:dLbls>
          <c:showLegendKey val="0"/>
          <c:showVal val="0"/>
          <c:showCatName val="0"/>
          <c:showSerName val="0"/>
          <c:showPercent val="0"/>
          <c:showBubbleSize val="0"/>
        </c:dLbls>
        <c:axId val="162809344"/>
        <c:axId val="162811904"/>
      </c:scatterChart>
      <c:valAx>
        <c:axId val="16280934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3</a:t>
                </a:r>
              </a:p>
            </c:rich>
          </c:tx>
          <c:layout>
            <c:manualLayout>
              <c:xMode val="edge"/>
              <c:yMode val="edge"/>
              <c:x val="0.49081765820939049"/>
              <c:y val="0.8642089074803149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811904"/>
        <c:crosses val="autoZero"/>
        <c:crossBetween val="midCat"/>
      </c:valAx>
      <c:valAx>
        <c:axId val="162811904"/>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4</a:t>
                </a:r>
              </a:p>
            </c:rich>
          </c:tx>
          <c:layout>
            <c:manualLayout>
              <c:xMode val="edge"/>
              <c:yMode val="edge"/>
              <c:x val="2.8161271507728201E-2"/>
              <c:y val="0.3287752214566929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809344"/>
        <c:crosses val="autoZero"/>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374378675158058"/>
          <c:y val="8.4542193552751874E-2"/>
          <c:w val="0.74729746318466794"/>
          <c:h val="0.77497010756689211"/>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#REF!$F$30:$F$50</c:f>
            </c:numRef>
          </c:xVal>
          <c:yVal>
            <c:numRef>
              <c:f>#REF!$N$30:$N$50</c:f>
              <c:numCache>
                <c:formatCode>General</c:formatCode>
                <c:ptCount val="1"/>
                <c:pt idx="0">
                  <c:v>1</c:v>
                </c:pt>
              </c:numCache>
            </c:numRef>
          </c:yVal>
          <c:smooth val="0"/>
          <c:extLst>
            <c:ext xmlns:c16="http://schemas.microsoft.com/office/drawing/2014/chart" uri="{C3380CC4-5D6E-409C-BE32-E72D297353CC}">
              <c16:uniqueId val="{00000000-174E-AD47-A065-677CDBF8E88B}"/>
            </c:ext>
          </c:extLst>
        </c:ser>
        <c:dLbls>
          <c:showLegendKey val="0"/>
          <c:showVal val="0"/>
          <c:showCatName val="0"/>
          <c:showSerName val="0"/>
          <c:showPercent val="0"/>
          <c:showBubbleSize val="0"/>
        </c:dLbls>
        <c:axId val="162831360"/>
        <c:axId val="162846208"/>
      </c:scatterChart>
      <c:valAx>
        <c:axId val="16283136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3</a:t>
                </a:r>
              </a:p>
            </c:rich>
          </c:tx>
          <c:layout>
            <c:manualLayout>
              <c:xMode val="edge"/>
              <c:yMode val="edge"/>
              <c:x val="0.46656659227756958"/>
              <c:y val="0.8548154527559055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846208"/>
        <c:crosses val="autoZero"/>
        <c:crossBetween val="midCat"/>
      </c:valAx>
      <c:valAx>
        <c:axId val="162846208"/>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4-3</a:t>
                </a:r>
              </a:p>
            </c:rich>
          </c:tx>
          <c:layout>
            <c:manualLayout>
              <c:xMode val="edge"/>
              <c:yMode val="edge"/>
              <c:x val="2.7678218030232852E-2"/>
              <c:y val="0.3428654035433070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831360"/>
        <c:crossesAt val="0"/>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73628273269508"/>
          <c:y val="7.9969644046069752E-2"/>
          <c:w val="0.70404228444434547"/>
          <c:h val="0.69751300640183056"/>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#REF!$G$30:$G$50</c:f>
            </c:numRef>
          </c:xVal>
          <c:yVal>
            <c:numRef>
              <c:f>#REF!$H$30:$H$50</c:f>
              <c:numCache>
                <c:formatCode>General</c:formatCode>
                <c:ptCount val="1"/>
                <c:pt idx="0">
                  <c:v>1</c:v>
                </c:pt>
              </c:numCache>
            </c:numRef>
          </c:yVal>
          <c:smooth val="0"/>
          <c:extLst>
            <c:ext xmlns:c16="http://schemas.microsoft.com/office/drawing/2014/chart" uri="{C3380CC4-5D6E-409C-BE32-E72D297353CC}">
              <c16:uniqueId val="{00000000-DA16-1C4D-9335-9646B8067089}"/>
            </c:ext>
          </c:extLst>
        </c:ser>
        <c:dLbls>
          <c:showLegendKey val="0"/>
          <c:showVal val="0"/>
          <c:showCatName val="0"/>
          <c:showSerName val="0"/>
          <c:showPercent val="0"/>
          <c:showBubbleSize val="0"/>
        </c:dLbls>
        <c:axId val="162874496"/>
        <c:axId val="162876800"/>
      </c:scatterChart>
      <c:valAx>
        <c:axId val="16287449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4</a:t>
                </a:r>
              </a:p>
            </c:rich>
          </c:tx>
          <c:layout>
            <c:manualLayout>
              <c:xMode val="edge"/>
              <c:yMode val="edge"/>
              <c:x val="0.4988641003207932"/>
              <c:y val="0.8707804024496937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876800"/>
        <c:crosses val="autoZero"/>
        <c:crossBetween val="midCat"/>
      </c:valAx>
      <c:valAx>
        <c:axId val="162876800"/>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5</a:t>
                </a:r>
              </a:p>
            </c:rich>
          </c:tx>
          <c:layout>
            <c:manualLayout>
              <c:xMode val="edge"/>
              <c:yMode val="edge"/>
              <c:x val="2.8161271507728201E-2"/>
              <c:y val="0.3376494604841061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874496"/>
        <c:crosses val="autoZero"/>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142147057323497"/>
          <c:y val="7.9969644046069752E-2"/>
          <c:w val="0.71961977936301358"/>
          <c:h val="0.69751300640183056"/>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#REF!$G$30:$G$50</c:f>
            </c:numRef>
          </c:xVal>
          <c:yVal>
            <c:numRef>
              <c:f>#REF!$O$30:$O$50</c:f>
              <c:numCache>
                <c:formatCode>General</c:formatCode>
                <c:ptCount val="1"/>
                <c:pt idx="0">
                  <c:v>1</c:v>
                </c:pt>
              </c:numCache>
            </c:numRef>
          </c:yVal>
          <c:smooth val="0"/>
          <c:extLst>
            <c:ext xmlns:c16="http://schemas.microsoft.com/office/drawing/2014/chart" uri="{C3380CC4-5D6E-409C-BE32-E72D297353CC}">
              <c16:uniqueId val="{00000000-0AF2-3B4C-ADC0-A7FB2B80ABB3}"/>
            </c:ext>
          </c:extLst>
        </c:ser>
        <c:dLbls>
          <c:showLegendKey val="0"/>
          <c:showVal val="0"/>
          <c:showCatName val="0"/>
          <c:showSerName val="0"/>
          <c:showPercent val="0"/>
          <c:showBubbleSize val="0"/>
        </c:dLbls>
        <c:axId val="162896896"/>
        <c:axId val="162919936"/>
      </c:scatterChart>
      <c:valAx>
        <c:axId val="16289689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4</a:t>
                </a:r>
              </a:p>
            </c:rich>
          </c:tx>
          <c:layout>
            <c:manualLayout>
              <c:xMode val="edge"/>
              <c:yMode val="edge"/>
              <c:x val="0.4823824161017306"/>
              <c:y val="0.8618950131233595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919936"/>
        <c:crosses val="autoZero"/>
        <c:crossBetween val="midCat"/>
      </c:valAx>
      <c:valAx>
        <c:axId val="162919936"/>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5-4</a:t>
                </a:r>
              </a:p>
            </c:rich>
          </c:tx>
          <c:layout>
            <c:manualLayout>
              <c:xMode val="edge"/>
              <c:yMode val="edge"/>
              <c:x val="2.7678218030232852E-2"/>
              <c:y val="0.306550597841936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896896"/>
        <c:crossesAt val="0"/>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73628273269508"/>
          <c:y val="8.2192277138814385E-2"/>
          <c:w val="0.69599608690783865"/>
          <c:h val="0.68950188044227612"/>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#REF!$H$30:$H$50</c:f>
            </c:numRef>
          </c:xVal>
          <c:yVal>
            <c:numRef>
              <c:f>#REF!$I$30:$I$50</c:f>
              <c:numCache>
                <c:formatCode>General</c:formatCode>
                <c:ptCount val="1"/>
                <c:pt idx="0">
                  <c:v>1</c:v>
                </c:pt>
              </c:numCache>
            </c:numRef>
          </c:yVal>
          <c:smooth val="0"/>
          <c:extLst>
            <c:ext xmlns:c16="http://schemas.microsoft.com/office/drawing/2014/chart" uri="{C3380CC4-5D6E-409C-BE32-E72D297353CC}">
              <c16:uniqueId val="{00000000-9FE0-A840-8DC6-8C527B047B05}"/>
            </c:ext>
          </c:extLst>
        </c:ser>
        <c:dLbls>
          <c:showLegendKey val="0"/>
          <c:showVal val="0"/>
          <c:showCatName val="0"/>
          <c:showSerName val="0"/>
          <c:showPercent val="0"/>
          <c:showBubbleSize val="0"/>
        </c:dLbls>
        <c:axId val="162944128"/>
        <c:axId val="162946432"/>
      </c:scatterChart>
      <c:valAx>
        <c:axId val="16294412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5</a:t>
                </a:r>
              </a:p>
            </c:rich>
          </c:tx>
          <c:layout>
            <c:manualLayout>
              <c:xMode val="edge"/>
              <c:yMode val="edge"/>
              <c:x val="0.49484179060950712"/>
              <c:y val="0.8675849011240007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946432"/>
        <c:crosses val="autoZero"/>
        <c:crossBetween val="midCat"/>
      </c:valAx>
      <c:valAx>
        <c:axId val="162946432"/>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6</a:t>
                </a:r>
              </a:p>
            </c:rich>
          </c:tx>
          <c:layout>
            <c:manualLayout>
              <c:xMode val="edge"/>
              <c:yMode val="edge"/>
              <c:x val="2.8161271507728201E-2"/>
              <c:y val="0.3333353368996814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944128"/>
        <c:crosses val="autoZero"/>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127043225393714"/>
          <c:y val="8.4542193552751874E-2"/>
          <c:w val="0.7201346795173591"/>
          <c:h val="0.68103433695272331"/>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#REF!$F$30:$F$50</c:f>
            </c:numRef>
          </c:xVal>
          <c:yVal>
            <c:numRef>
              <c:f>#REF!$G$30:$G$50</c:f>
              <c:numCache>
                <c:formatCode>General</c:formatCode>
                <c:ptCount val="1"/>
                <c:pt idx="0">
                  <c:v>1</c:v>
                </c:pt>
              </c:numCache>
            </c:numRef>
          </c:yVal>
          <c:smooth val="0"/>
          <c:extLst>
            <c:ext xmlns:c16="http://schemas.microsoft.com/office/drawing/2014/chart" uri="{C3380CC4-5D6E-409C-BE32-E72D297353CC}">
              <c16:uniqueId val="{00000000-86D3-204E-AEA9-41C08737928B}"/>
            </c:ext>
          </c:extLst>
        </c:ser>
        <c:dLbls>
          <c:showLegendKey val="0"/>
          <c:showVal val="0"/>
          <c:showCatName val="0"/>
          <c:showSerName val="0"/>
          <c:showPercent val="0"/>
          <c:showBubbleSize val="0"/>
        </c:dLbls>
        <c:axId val="162809344"/>
        <c:axId val="162811904"/>
      </c:scatterChart>
      <c:valAx>
        <c:axId val="16280934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3</a:t>
                </a:r>
              </a:p>
            </c:rich>
          </c:tx>
          <c:layout>
            <c:manualLayout>
              <c:xMode val="edge"/>
              <c:yMode val="edge"/>
              <c:x val="0.49081765820939049"/>
              <c:y val="0.8642089074803149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811904"/>
        <c:crosses val="autoZero"/>
        <c:crossBetween val="midCat"/>
      </c:valAx>
      <c:valAx>
        <c:axId val="162811904"/>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4</a:t>
                </a:r>
              </a:p>
            </c:rich>
          </c:tx>
          <c:layout>
            <c:manualLayout>
              <c:xMode val="edge"/>
              <c:yMode val="edge"/>
              <c:x val="2.8161271507728201E-2"/>
              <c:y val="0.3287752214566929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809344"/>
        <c:crosses val="autoZero"/>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142147057323497"/>
          <c:y val="8.2192277138814385E-2"/>
          <c:w val="0.71171186969968381"/>
          <c:h val="0.68950188044227612"/>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#REF!$H$30:$H$50</c:f>
            </c:numRef>
          </c:xVal>
          <c:yVal>
            <c:numRef>
              <c:f>#REF!$P$30:$P$50</c:f>
              <c:numCache>
                <c:formatCode>General</c:formatCode>
                <c:ptCount val="1"/>
                <c:pt idx="0">
                  <c:v>1</c:v>
                </c:pt>
              </c:numCache>
            </c:numRef>
          </c:yVal>
          <c:smooth val="0"/>
          <c:extLst>
            <c:ext xmlns:c16="http://schemas.microsoft.com/office/drawing/2014/chart" uri="{C3380CC4-5D6E-409C-BE32-E72D297353CC}">
              <c16:uniqueId val="{00000000-12EC-F945-94C8-A0350328207F}"/>
            </c:ext>
          </c:extLst>
        </c:ser>
        <c:dLbls>
          <c:showLegendKey val="0"/>
          <c:showVal val="0"/>
          <c:showCatName val="0"/>
          <c:showSerName val="0"/>
          <c:showPercent val="0"/>
          <c:showBubbleSize val="0"/>
        </c:dLbls>
        <c:axId val="162982912"/>
        <c:axId val="162985472"/>
      </c:scatterChart>
      <c:valAx>
        <c:axId val="16298291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5</a:t>
                </a:r>
              </a:p>
            </c:rich>
          </c:tx>
          <c:layout>
            <c:manualLayout>
              <c:xMode val="edge"/>
              <c:yMode val="edge"/>
              <c:x val="0.47842856541328055"/>
              <c:y val="0.8584528460659974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985472"/>
        <c:crosses val="autoZero"/>
        <c:crossBetween val="midCat"/>
      </c:valAx>
      <c:valAx>
        <c:axId val="162985472"/>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6-5</a:t>
                </a:r>
              </a:p>
            </c:rich>
          </c:tx>
          <c:layout>
            <c:manualLayout>
              <c:xMode val="edge"/>
              <c:yMode val="edge"/>
              <c:x val="2.7678218030232852E-2"/>
              <c:y val="0.301371641521909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982912"/>
        <c:crossesAt val="0"/>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24200735025584"/>
          <c:y val="7.9053060252921969E-2"/>
          <c:w val="0.71816782456936468"/>
          <c:h val="0.79053060252921969"/>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#REF!$V$30:$V$50</c:f>
            </c:numRef>
          </c:xVal>
          <c:yVal>
            <c:numRef>
              <c:f>#REF!$W$30:$W$50</c:f>
              <c:numCache>
                <c:formatCode>General</c:formatCode>
                <c:ptCount val="1"/>
                <c:pt idx="0">
                  <c:v>1</c:v>
                </c:pt>
              </c:numCache>
            </c:numRef>
          </c:yVal>
          <c:smooth val="0"/>
          <c:extLst>
            <c:ext xmlns:c16="http://schemas.microsoft.com/office/drawing/2014/chart" uri="{C3380CC4-5D6E-409C-BE32-E72D297353CC}">
              <c16:uniqueId val="{00000000-93A0-D64F-97B2-F1FF66C0D482}"/>
            </c:ext>
          </c:extLst>
        </c:ser>
        <c:dLbls>
          <c:showLegendKey val="0"/>
          <c:showVal val="0"/>
          <c:showCatName val="0"/>
          <c:showSerName val="0"/>
          <c:showPercent val="0"/>
          <c:showBubbleSize val="0"/>
        </c:dLbls>
        <c:axId val="163017856"/>
        <c:axId val="163020160"/>
      </c:scatterChart>
      <c:valAx>
        <c:axId val="16301785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1</a:t>
                </a:r>
              </a:p>
            </c:rich>
          </c:tx>
          <c:layout>
            <c:manualLayout>
              <c:xMode val="edge"/>
              <c:yMode val="edge"/>
              <c:x val="0.45872476136013723"/>
              <c:y val="0.87397609873233939"/>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3020160"/>
        <c:crosses val="autoZero"/>
        <c:crossBetween val="midCat"/>
      </c:valAx>
      <c:valAx>
        <c:axId val="163020160"/>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2</a:t>
                </a:r>
              </a:p>
            </c:rich>
          </c:tx>
          <c:layout>
            <c:manualLayout>
              <c:xMode val="edge"/>
              <c:yMode val="edge"/>
              <c:x val="2.6320327277526066E-2"/>
              <c:y val="0.3864818227508795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3017856"/>
        <c:crosses val="autoZero"/>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188192225658587"/>
          <c:y val="7.9053060252921969E-2"/>
          <c:w val="0.71566582453134864"/>
          <c:h val="0.79053060252921969"/>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#REF!$V$30:$V$50</c:f>
            </c:numRef>
          </c:xVal>
          <c:yVal>
            <c:numRef>
              <c:f>#REF!$AD$30:$AD$50</c:f>
              <c:numCache>
                <c:formatCode>General</c:formatCode>
                <c:ptCount val="1"/>
                <c:pt idx="0">
                  <c:v>1</c:v>
                </c:pt>
              </c:numCache>
            </c:numRef>
          </c:yVal>
          <c:smooth val="0"/>
          <c:extLst>
            <c:ext xmlns:c16="http://schemas.microsoft.com/office/drawing/2014/chart" uri="{C3380CC4-5D6E-409C-BE32-E72D297353CC}">
              <c16:uniqueId val="{00000000-2448-4741-8346-11C7651BD739}"/>
            </c:ext>
          </c:extLst>
        </c:ser>
        <c:dLbls>
          <c:showLegendKey val="0"/>
          <c:showVal val="0"/>
          <c:showCatName val="0"/>
          <c:showSerName val="0"/>
          <c:showPercent val="0"/>
          <c:showBubbleSize val="0"/>
        </c:dLbls>
        <c:axId val="162671616"/>
        <c:axId val="162682368"/>
      </c:scatterChart>
      <c:valAx>
        <c:axId val="16267161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1</a:t>
                </a:r>
              </a:p>
            </c:rich>
          </c:tx>
          <c:layout>
            <c:manualLayout>
              <c:xMode val="edge"/>
              <c:yMode val="edge"/>
              <c:x val="0.43888915083219388"/>
              <c:y val="0.86080024571396652"/>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682368"/>
        <c:crosses val="autoZero"/>
        <c:crossBetween val="midCat"/>
      </c:valAx>
      <c:valAx>
        <c:axId val="162682368"/>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2-1</a:t>
                </a:r>
              </a:p>
            </c:rich>
          </c:tx>
          <c:layout>
            <c:manualLayout>
              <c:xMode val="edge"/>
              <c:yMode val="edge"/>
              <c:x val="2.7677872601254185E-2"/>
              <c:y val="0.355738538001898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671616"/>
        <c:crossesAt val="0"/>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24200735025584"/>
          <c:y val="8.2519812063575448E-2"/>
          <c:w val="0.71816782456936468"/>
          <c:h val="0.7793537806004347"/>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#REF!$W$30:$W$50</c:f>
            </c:numRef>
          </c:xVal>
          <c:yVal>
            <c:numRef>
              <c:f>#REF!$X$30:$X$50</c:f>
              <c:numCache>
                <c:formatCode>General</c:formatCode>
                <c:ptCount val="1"/>
                <c:pt idx="0">
                  <c:v>1</c:v>
                </c:pt>
              </c:numCache>
            </c:numRef>
          </c:yVal>
          <c:smooth val="0"/>
          <c:extLst>
            <c:ext xmlns:c16="http://schemas.microsoft.com/office/drawing/2014/chart" uri="{C3380CC4-5D6E-409C-BE32-E72D297353CC}">
              <c16:uniqueId val="{00000000-C159-9F48-97DE-1589F47D3FDC}"/>
            </c:ext>
          </c:extLst>
        </c:ser>
        <c:dLbls>
          <c:showLegendKey val="0"/>
          <c:showVal val="0"/>
          <c:showCatName val="0"/>
          <c:showSerName val="0"/>
          <c:showPercent val="0"/>
          <c:showBubbleSize val="0"/>
        </c:dLbls>
        <c:axId val="162710656"/>
        <c:axId val="162712960"/>
      </c:scatterChart>
      <c:valAx>
        <c:axId val="16271065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2</a:t>
                </a:r>
              </a:p>
            </c:rich>
          </c:tx>
          <c:layout>
            <c:manualLayout>
              <c:xMode val="edge"/>
              <c:yMode val="edge"/>
              <c:x val="0.45872476136013723"/>
              <c:y val="0.86645849612309911"/>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712960"/>
        <c:crosses val="autoZero"/>
        <c:crossBetween val="midCat"/>
      </c:valAx>
      <c:valAx>
        <c:axId val="162712960"/>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3</a:t>
                </a:r>
              </a:p>
            </c:rich>
          </c:tx>
          <c:layout>
            <c:manualLayout>
              <c:xMode val="edge"/>
              <c:yMode val="edge"/>
              <c:x val="2.6320327277526066E-2"/>
              <c:y val="0.3805079040692432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710656"/>
        <c:crosses val="autoZero"/>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188192225658587"/>
          <c:y val="8.2519812063575448E-2"/>
          <c:w val="0.71566582453134864"/>
          <c:h val="0.7793537806004347"/>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#REF!$W$30:$W$50</c:f>
            </c:numRef>
          </c:xVal>
          <c:yVal>
            <c:numRef>
              <c:f>#REF!$AE$30:$AE$50</c:f>
              <c:numCache>
                <c:formatCode>General</c:formatCode>
                <c:ptCount val="1"/>
                <c:pt idx="0">
                  <c:v>1</c:v>
                </c:pt>
              </c:numCache>
            </c:numRef>
          </c:yVal>
          <c:smooth val="0"/>
          <c:extLst>
            <c:ext xmlns:c16="http://schemas.microsoft.com/office/drawing/2014/chart" uri="{C3380CC4-5D6E-409C-BE32-E72D297353CC}">
              <c16:uniqueId val="{00000000-2421-694E-A60E-1026D0F178C6}"/>
            </c:ext>
          </c:extLst>
        </c:ser>
        <c:dLbls>
          <c:showLegendKey val="0"/>
          <c:showVal val="0"/>
          <c:showCatName val="0"/>
          <c:showSerName val="0"/>
          <c:showPercent val="0"/>
          <c:showBubbleSize val="0"/>
        </c:dLbls>
        <c:axId val="162728960"/>
        <c:axId val="162743808"/>
      </c:scatterChart>
      <c:valAx>
        <c:axId val="16272896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2</a:t>
                </a:r>
              </a:p>
            </c:rich>
          </c:tx>
          <c:layout>
            <c:manualLayout>
              <c:xMode val="edge"/>
              <c:yMode val="edge"/>
              <c:x val="0.43888915083219388"/>
              <c:y val="0.85728917473102118"/>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743808"/>
        <c:crosses val="autoZero"/>
        <c:crossBetween val="midCat"/>
      </c:valAx>
      <c:valAx>
        <c:axId val="162743808"/>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3-2</a:t>
                </a:r>
              </a:p>
            </c:rich>
          </c:tx>
          <c:layout>
            <c:manualLayout>
              <c:xMode val="edge"/>
              <c:yMode val="edge"/>
              <c:x val="2.7677872601254185E-2"/>
              <c:y val="0.348416781871731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728960"/>
        <c:crossesAt val="0"/>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24200735025584"/>
          <c:y val="8.1224343580324737E-2"/>
          <c:w val="0.71816782456936468"/>
          <c:h val="0.78516865460980567"/>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#REF!$X$30:$X$50</c:f>
            </c:numRef>
          </c:xVal>
          <c:yVal>
            <c:numRef>
              <c:f>#REF!$Y$30:$Y$50</c:f>
              <c:numCache>
                <c:formatCode>General</c:formatCode>
                <c:ptCount val="1"/>
                <c:pt idx="0">
                  <c:v>1</c:v>
                </c:pt>
              </c:numCache>
            </c:numRef>
          </c:yVal>
          <c:smooth val="0"/>
          <c:extLst>
            <c:ext xmlns:c16="http://schemas.microsoft.com/office/drawing/2014/chart" uri="{C3380CC4-5D6E-409C-BE32-E72D297353CC}">
              <c16:uniqueId val="{00000000-E0F5-5440-B854-6A29263F5A0F}"/>
            </c:ext>
          </c:extLst>
        </c:ser>
        <c:dLbls>
          <c:showLegendKey val="0"/>
          <c:showVal val="0"/>
          <c:showCatName val="0"/>
          <c:showSerName val="0"/>
          <c:showPercent val="0"/>
          <c:showBubbleSize val="0"/>
        </c:dLbls>
        <c:axId val="162780288"/>
        <c:axId val="162782592"/>
      </c:scatterChart>
      <c:valAx>
        <c:axId val="16278028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3</a:t>
                </a:r>
              </a:p>
            </c:rich>
          </c:tx>
          <c:layout>
            <c:manualLayout>
              <c:xMode val="edge"/>
              <c:yMode val="edge"/>
              <c:x val="0.45872476136013723"/>
              <c:y val="0.8709055118110236"/>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782592"/>
        <c:crosses val="autoZero"/>
        <c:crossBetween val="midCat"/>
      </c:valAx>
      <c:valAx>
        <c:axId val="162782592"/>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4</a:t>
                </a:r>
              </a:p>
            </c:rich>
          </c:tx>
          <c:layout>
            <c:manualLayout>
              <c:xMode val="edge"/>
              <c:yMode val="edge"/>
              <c:x val="2.6320327277526066E-2"/>
              <c:y val="0.383559172640733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780288"/>
        <c:crosses val="autoZero"/>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188192225658587"/>
          <c:y val="8.1224343580324737E-2"/>
          <c:w val="0.71566582453134864"/>
          <c:h val="0.78516865460980567"/>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#REF!$X$30:$X$50</c:f>
            </c:numRef>
          </c:xVal>
          <c:yVal>
            <c:numRef>
              <c:f>#REF!$AF$30:$AF$50</c:f>
              <c:numCache>
                <c:formatCode>General</c:formatCode>
                <c:ptCount val="1"/>
                <c:pt idx="0">
                  <c:v>1</c:v>
                </c:pt>
              </c:numCache>
            </c:numRef>
          </c:yVal>
          <c:smooth val="0"/>
          <c:extLst>
            <c:ext xmlns:c16="http://schemas.microsoft.com/office/drawing/2014/chart" uri="{C3380CC4-5D6E-409C-BE32-E72D297353CC}">
              <c16:uniqueId val="{00000000-7C57-8E41-AB0B-48371D72BA60}"/>
            </c:ext>
          </c:extLst>
        </c:ser>
        <c:dLbls>
          <c:showLegendKey val="0"/>
          <c:showVal val="0"/>
          <c:showCatName val="0"/>
          <c:showSerName val="0"/>
          <c:showPercent val="0"/>
          <c:showBubbleSize val="0"/>
        </c:dLbls>
        <c:axId val="162790400"/>
        <c:axId val="163341824"/>
      </c:scatterChart>
      <c:valAx>
        <c:axId val="16279040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3</a:t>
                </a:r>
              </a:p>
            </c:rich>
          </c:tx>
          <c:layout>
            <c:manualLayout>
              <c:xMode val="edge"/>
              <c:yMode val="edge"/>
              <c:x val="0.43888915083219388"/>
              <c:y val="0.8618803619696791"/>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3341824"/>
        <c:crosses val="autoZero"/>
        <c:crossBetween val="midCat"/>
      </c:valAx>
      <c:valAx>
        <c:axId val="163341824"/>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4-3</a:t>
                </a:r>
              </a:p>
            </c:rich>
          </c:tx>
          <c:layout>
            <c:manualLayout>
              <c:xMode val="edge"/>
              <c:yMode val="edge"/>
              <c:x val="2.7677872601254185E-2"/>
              <c:y val="0.3519720296157010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790400"/>
        <c:crossesAt val="0"/>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304408930768395"/>
          <c:y val="8.1544382413305819E-2"/>
          <c:w val="0.72096957625271441"/>
          <c:h val="0.69312725051309942"/>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#REF!$Y$30:$Y$50</c:f>
            </c:numRef>
          </c:xVal>
          <c:yVal>
            <c:numRef>
              <c:f>#REF!$Z$30:$Z$50</c:f>
              <c:numCache>
                <c:formatCode>General</c:formatCode>
                <c:ptCount val="1"/>
                <c:pt idx="0">
                  <c:v>1</c:v>
                </c:pt>
              </c:numCache>
            </c:numRef>
          </c:yVal>
          <c:smooth val="0"/>
          <c:extLst>
            <c:ext xmlns:c16="http://schemas.microsoft.com/office/drawing/2014/chart" uri="{C3380CC4-5D6E-409C-BE32-E72D297353CC}">
              <c16:uniqueId val="{00000000-BC49-C649-8998-E24D14951BCF}"/>
            </c:ext>
          </c:extLst>
        </c:ser>
        <c:dLbls>
          <c:showLegendKey val="0"/>
          <c:showVal val="0"/>
          <c:showCatName val="0"/>
          <c:showSerName val="0"/>
          <c:showPercent val="0"/>
          <c:showBubbleSize val="0"/>
        </c:dLbls>
        <c:axId val="163447936"/>
        <c:axId val="163450240"/>
      </c:scatterChart>
      <c:valAx>
        <c:axId val="16344793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4</a:t>
                </a:r>
              </a:p>
            </c:rich>
          </c:tx>
          <c:layout>
            <c:manualLayout>
              <c:xMode val="edge"/>
              <c:yMode val="edge"/>
              <c:x val="0.45947829147054947"/>
              <c:y val="0.86980705656067803"/>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3450240"/>
        <c:crosses val="autoZero"/>
        <c:crossBetween val="midCat"/>
      </c:valAx>
      <c:valAx>
        <c:axId val="163450240"/>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5</a:t>
                </a:r>
              </a:p>
            </c:rich>
          </c:tx>
          <c:layout>
            <c:manualLayout>
              <c:xMode val="edge"/>
              <c:yMode val="edge"/>
              <c:x val="2.6149210398979456E-2"/>
              <c:y val="0.3352377231472020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3447936"/>
        <c:crosses val="autoZero"/>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188192225658587"/>
          <c:y val="8.1544382413305819E-2"/>
          <c:w val="0.71566582453134864"/>
          <c:h val="0.69312725051309942"/>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#REF!$Y$30:$Y$50</c:f>
            </c:numRef>
          </c:xVal>
          <c:yVal>
            <c:numRef>
              <c:f>#REF!$AG$30:$AG$50</c:f>
              <c:numCache>
                <c:formatCode>General</c:formatCode>
                <c:ptCount val="1"/>
                <c:pt idx="0">
                  <c:v>1</c:v>
                </c:pt>
              </c:numCache>
            </c:numRef>
          </c:yVal>
          <c:smooth val="0"/>
          <c:extLst>
            <c:ext xmlns:c16="http://schemas.microsoft.com/office/drawing/2014/chart" uri="{C3380CC4-5D6E-409C-BE32-E72D297353CC}">
              <c16:uniqueId val="{00000000-2E5C-BA4B-873A-B5103F4DAD5D}"/>
            </c:ext>
          </c:extLst>
        </c:ser>
        <c:dLbls>
          <c:showLegendKey val="0"/>
          <c:showVal val="0"/>
          <c:showCatName val="0"/>
          <c:showSerName val="0"/>
          <c:showPercent val="0"/>
          <c:showBubbleSize val="0"/>
        </c:dLbls>
        <c:axId val="163482624"/>
        <c:axId val="163485184"/>
      </c:scatterChart>
      <c:valAx>
        <c:axId val="16348262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4</a:t>
                </a:r>
              </a:p>
            </c:rich>
          </c:tx>
          <c:layout>
            <c:manualLayout>
              <c:xMode val="edge"/>
              <c:yMode val="edge"/>
              <c:x val="0.43888920134983128"/>
              <c:y val="0.86074652882130198"/>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3485184"/>
        <c:crosses val="autoZero"/>
        <c:crossBetween val="midCat"/>
      </c:valAx>
      <c:valAx>
        <c:axId val="163485184"/>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5-4</a:t>
                </a:r>
              </a:p>
            </c:rich>
          </c:tx>
          <c:layout>
            <c:manualLayout>
              <c:xMode val="edge"/>
              <c:yMode val="edge"/>
              <c:x val="2.7678102737157855E-2"/>
              <c:y val="0.303526477129290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3482624"/>
        <c:crossesAt val="0"/>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040002590108887"/>
          <c:y val="8.2519812063575448E-2"/>
          <c:w val="0.7172339825933739"/>
          <c:h val="0.68766510052979535"/>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#REF!$Z$30:$Z$50</c:f>
            </c:numRef>
          </c:xVal>
          <c:yVal>
            <c:numRef>
              <c:f>#REF!$AA$30:$AA$50</c:f>
              <c:numCache>
                <c:formatCode>General</c:formatCode>
                <c:ptCount val="1"/>
                <c:pt idx="0">
                  <c:v>1</c:v>
                </c:pt>
              </c:numCache>
            </c:numRef>
          </c:yVal>
          <c:smooth val="0"/>
          <c:extLst>
            <c:ext xmlns:c16="http://schemas.microsoft.com/office/drawing/2014/chart" uri="{C3380CC4-5D6E-409C-BE32-E72D297353CC}">
              <c16:uniqueId val="{00000000-5999-C346-A279-11E48B41C72D}"/>
            </c:ext>
          </c:extLst>
        </c:ser>
        <c:dLbls>
          <c:showLegendKey val="0"/>
          <c:showVal val="0"/>
          <c:showCatName val="0"/>
          <c:showSerName val="0"/>
          <c:showPercent val="0"/>
          <c:showBubbleSize val="0"/>
        </c:dLbls>
        <c:axId val="163505280"/>
        <c:axId val="163507584"/>
      </c:scatterChart>
      <c:valAx>
        <c:axId val="16350528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5</a:t>
                </a:r>
              </a:p>
            </c:rich>
          </c:tx>
          <c:layout>
            <c:manualLayout>
              <c:xMode val="edge"/>
              <c:yMode val="edge"/>
              <c:x val="0.49683367791316585"/>
              <c:y val="0.8664584690071635"/>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3507584"/>
        <c:crosses val="autoZero"/>
        <c:crossBetween val="midCat"/>
      </c:valAx>
      <c:valAx>
        <c:axId val="163507584"/>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6</a:t>
                </a:r>
              </a:p>
            </c:rich>
          </c:tx>
          <c:layout>
            <c:manualLayout>
              <c:xMode val="edge"/>
              <c:yMode val="edge"/>
              <c:x val="2.6149210398979456E-2"/>
              <c:y val="0.334663430229116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3505280"/>
        <c:crosses val="autoZero"/>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374378675158058"/>
          <c:y val="8.4542193552751874E-2"/>
          <c:w val="0.74729746318466794"/>
          <c:h val="0.77497010756689211"/>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#REF!$F$30:$F$50</c:f>
            </c:numRef>
          </c:xVal>
          <c:yVal>
            <c:numRef>
              <c:f>#REF!$N$30:$N$50</c:f>
              <c:numCache>
                <c:formatCode>General</c:formatCode>
                <c:ptCount val="1"/>
                <c:pt idx="0">
                  <c:v>1</c:v>
                </c:pt>
              </c:numCache>
            </c:numRef>
          </c:yVal>
          <c:smooth val="0"/>
          <c:extLst>
            <c:ext xmlns:c16="http://schemas.microsoft.com/office/drawing/2014/chart" uri="{C3380CC4-5D6E-409C-BE32-E72D297353CC}">
              <c16:uniqueId val="{00000000-176F-4D4E-9625-596D7894FB2D}"/>
            </c:ext>
          </c:extLst>
        </c:ser>
        <c:dLbls>
          <c:showLegendKey val="0"/>
          <c:showVal val="0"/>
          <c:showCatName val="0"/>
          <c:showSerName val="0"/>
          <c:showPercent val="0"/>
          <c:showBubbleSize val="0"/>
        </c:dLbls>
        <c:axId val="162831360"/>
        <c:axId val="162846208"/>
      </c:scatterChart>
      <c:valAx>
        <c:axId val="16283136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3</a:t>
                </a:r>
              </a:p>
            </c:rich>
          </c:tx>
          <c:layout>
            <c:manualLayout>
              <c:xMode val="edge"/>
              <c:yMode val="edge"/>
              <c:x val="0.46656659227756958"/>
              <c:y val="0.8548154527559055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846208"/>
        <c:crosses val="autoZero"/>
        <c:crossBetween val="midCat"/>
      </c:valAx>
      <c:valAx>
        <c:axId val="162846208"/>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4-3</a:t>
                </a:r>
              </a:p>
            </c:rich>
          </c:tx>
          <c:layout>
            <c:manualLayout>
              <c:xMode val="edge"/>
              <c:yMode val="edge"/>
              <c:x val="2.7678218030232852E-2"/>
              <c:y val="0.3428654035433070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831360"/>
        <c:crossesAt val="0"/>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142147057323497"/>
          <c:y val="8.2519812063575448E-2"/>
          <c:w val="0.71171186969968381"/>
          <c:h val="0.68766510052979535"/>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#REF!$Z$30:$Z$50</c:f>
            </c:numRef>
          </c:xVal>
          <c:yVal>
            <c:numRef>
              <c:f>#REF!$AH$30:$AH$50</c:f>
              <c:numCache>
                <c:formatCode>General</c:formatCode>
                <c:ptCount val="1"/>
                <c:pt idx="0">
                  <c:v>1</c:v>
                </c:pt>
              </c:numCache>
            </c:numRef>
          </c:yVal>
          <c:smooth val="0"/>
          <c:extLst>
            <c:ext xmlns:c16="http://schemas.microsoft.com/office/drawing/2014/chart" uri="{C3380CC4-5D6E-409C-BE32-E72D297353CC}">
              <c16:uniqueId val="{00000000-4F7E-5D48-8721-DF8590689E05}"/>
            </c:ext>
          </c:extLst>
        </c:ser>
        <c:dLbls>
          <c:showLegendKey val="0"/>
          <c:showVal val="0"/>
          <c:showCatName val="0"/>
          <c:showSerName val="0"/>
          <c:showPercent val="0"/>
          <c:showBubbleSize val="0"/>
        </c:dLbls>
        <c:axId val="163535872"/>
        <c:axId val="163550720"/>
      </c:scatterChart>
      <c:valAx>
        <c:axId val="16353587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5</a:t>
                </a:r>
              </a:p>
            </c:rich>
          </c:tx>
          <c:layout>
            <c:manualLayout>
              <c:xMode val="edge"/>
              <c:yMode val="edge"/>
              <c:x val="0.47842847769028873"/>
              <c:y val="0.8572890888638921"/>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3550720"/>
        <c:crosses val="autoZero"/>
        <c:crossBetween val="midCat"/>
      </c:valAx>
      <c:valAx>
        <c:axId val="163550720"/>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6-5</a:t>
                </a:r>
              </a:p>
            </c:rich>
          </c:tx>
          <c:layout>
            <c:manualLayout>
              <c:xMode val="edge"/>
              <c:yMode val="edge"/>
              <c:x val="2.7678102737157855E-2"/>
              <c:y val="0.3025723758214433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3535872"/>
        <c:crossesAt val="0"/>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73628273269508"/>
          <c:y val="7.9969644046069752E-2"/>
          <c:w val="0.70404228444434547"/>
          <c:h val="0.69751300640183056"/>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#REF!$G$30:$G$50</c:f>
            </c:numRef>
          </c:xVal>
          <c:yVal>
            <c:numRef>
              <c:f>#REF!$H$30:$H$50</c:f>
              <c:numCache>
                <c:formatCode>General</c:formatCode>
                <c:ptCount val="1"/>
                <c:pt idx="0">
                  <c:v>1</c:v>
                </c:pt>
              </c:numCache>
            </c:numRef>
          </c:yVal>
          <c:smooth val="0"/>
          <c:extLst>
            <c:ext xmlns:c16="http://schemas.microsoft.com/office/drawing/2014/chart" uri="{C3380CC4-5D6E-409C-BE32-E72D297353CC}">
              <c16:uniqueId val="{00000000-3884-CA47-968D-6239107BCD59}"/>
            </c:ext>
          </c:extLst>
        </c:ser>
        <c:dLbls>
          <c:showLegendKey val="0"/>
          <c:showVal val="0"/>
          <c:showCatName val="0"/>
          <c:showSerName val="0"/>
          <c:showPercent val="0"/>
          <c:showBubbleSize val="0"/>
        </c:dLbls>
        <c:axId val="162874496"/>
        <c:axId val="162876800"/>
      </c:scatterChart>
      <c:valAx>
        <c:axId val="16287449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4</a:t>
                </a:r>
              </a:p>
            </c:rich>
          </c:tx>
          <c:layout>
            <c:manualLayout>
              <c:xMode val="edge"/>
              <c:yMode val="edge"/>
              <c:x val="0.4988641003207932"/>
              <c:y val="0.8707804024496937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876800"/>
        <c:crosses val="autoZero"/>
        <c:crossBetween val="midCat"/>
      </c:valAx>
      <c:valAx>
        <c:axId val="162876800"/>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5</a:t>
                </a:r>
              </a:p>
            </c:rich>
          </c:tx>
          <c:layout>
            <c:manualLayout>
              <c:xMode val="edge"/>
              <c:yMode val="edge"/>
              <c:x val="2.8161271507728201E-2"/>
              <c:y val="0.3376494604841061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874496"/>
        <c:crosses val="autoZero"/>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142147057323497"/>
          <c:y val="7.9969644046069752E-2"/>
          <c:w val="0.71961977936301358"/>
          <c:h val="0.69751300640183056"/>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#REF!$G$30:$G$50</c:f>
            </c:numRef>
          </c:xVal>
          <c:yVal>
            <c:numRef>
              <c:f>#REF!$O$30:$O$50</c:f>
              <c:numCache>
                <c:formatCode>General</c:formatCode>
                <c:ptCount val="1"/>
                <c:pt idx="0">
                  <c:v>1</c:v>
                </c:pt>
              </c:numCache>
            </c:numRef>
          </c:yVal>
          <c:smooth val="0"/>
          <c:extLst>
            <c:ext xmlns:c16="http://schemas.microsoft.com/office/drawing/2014/chart" uri="{C3380CC4-5D6E-409C-BE32-E72D297353CC}">
              <c16:uniqueId val="{00000000-BBB5-C941-B00F-EEE445F6542E}"/>
            </c:ext>
          </c:extLst>
        </c:ser>
        <c:dLbls>
          <c:showLegendKey val="0"/>
          <c:showVal val="0"/>
          <c:showCatName val="0"/>
          <c:showSerName val="0"/>
          <c:showPercent val="0"/>
          <c:showBubbleSize val="0"/>
        </c:dLbls>
        <c:axId val="162896896"/>
        <c:axId val="162919936"/>
      </c:scatterChart>
      <c:valAx>
        <c:axId val="16289689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4</a:t>
                </a:r>
              </a:p>
            </c:rich>
          </c:tx>
          <c:layout>
            <c:manualLayout>
              <c:xMode val="edge"/>
              <c:yMode val="edge"/>
              <c:x val="0.4823824161017306"/>
              <c:y val="0.8618950131233595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919936"/>
        <c:crosses val="autoZero"/>
        <c:crossBetween val="midCat"/>
      </c:valAx>
      <c:valAx>
        <c:axId val="162919936"/>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5-4</a:t>
                </a:r>
              </a:p>
            </c:rich>
          </c:tx>
          <c:layout>
            <c:manualLayout>
              <c:xMode val="edge"/>
              <c:yMode val="edge"/>
              <c:x val="2.7678218030232852E-2"/>
              <c:y val="0.306550597841936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896896"/>
        <c:crossesAt val="0"/>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73628273269508"/>
          <c:y val="8.2192277138814385E-2"/>
          <c:w val="0.69599608690783865"/>
          <c:h val="0.68950188044227612"/>
        </c:manualLayout>
      </c:layout>
      <c:scatterChart>
        <c:scatterStyle val="lineMarker"/>
        <c:varyColors val="0"/>
        <c:ser>
          <c:idx val="0"/>
          <c:order val="0"/>
          <c:spPr>
            <a:ln w="28575">
              <a:noFill/>
            </a:ln>
          </c:spPr>
          <c:marker>
            <c:symbol val="circle"/>
            <c:size val="5"/>
            <c:spPr>
              <a:solidFill>
                <a:srgbClr val="FF0000"/>
              </a:solidFill>
              <a:ln>
                <a:solidFill>
                  <a:srgbClr val="000000"/>
                </a:solidFill>
                <a:prstDash val="solid"/>
              </a:ln>
            </c:spPr>
          </c:marker>
          <c:xVal>
            <c:numRef>
              <c:f>#REF!$H$30:$H$50</c:f>
            </c:numRef>
          </c:xVal>
          <c:yVal>
            <c:numRef>
              <c:f>#REF!$I$30:$I$50</c:f>
              <c:numCache>
                <c:formatCode>General</c:formatCode>
                <c:ptCount val="1"/>
                <c:pt idx="0">
                  <c:v>1</c:v>
                </c:pt>
              </c:numCache>
            </c:numRef>
          </c:yVal>
          <c:smooth val="0"/>
          <c:extLst>
            <c:ext xmlns:c16="http://schemas.microsoft.com/office/drawing/2014/chart" uri="{C3380CC4-5D6E-409C-BE32-E72D297353CC}">
              <c16:uniqueId val="{00000000-8895-654B-AB6E-67FB3A66B3BF}"/>
            </c:ext>
          </c:extLst>
        </c:ser>
        <c:dLbls>
          <c:showLegendKey val="0"/>
          <c:showVal val="0"/>
          <c:showCatName val="0"/>
          <c:showSerName val="0"/>
          <c:showPercent val="0"/>
          <c:showBubbleSize val="0"/>
        </c:dLbls>
        <c:axId val="162944128"/>
        <c:axId val="162946432"/>
      </c:scatterChart>
      <c:valAx>
        <c:axId val="16294412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Trial 5</a:t>
                </a:r>
              </a:p>
            </c:rich>
          </c:tx>
          <c:layout>
            <c:manualLayout>
              <c:xMode val="edge"/>
              <c:yMode val="edge"/>
              <c:x val="0.49484179060950712"/>
              <c:y val="0.8675849011240007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946432"/>
        <c:crosses val="autoZero"/>
        <c:crossBetween val="midCat"/>
      </c:valAx>
      <c:valAx>
        <c:axId val="162946432"/>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ES"/>
                  <a:t>Trial 6</a:t>
                </a:r>
              </a:p>
            </c:rich>
          </c:tx>
          <c:layout>
            <c:manualLayout>
              <c:xMode val="edge"/>
              <c:yMode val="edge"/>
              <c:x val="2.8161271507728201E-2"/>
              <c:y val="0.3333353368996814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162944128"/>
        <c:crosses val="autoZero"/>
        <c:crossBetween val="midCat"/>
      </c:valAx>
      <c:spPr>
        <a:solidFill>
          <a:srgbClr val="C0C0C0"/>
        </a:solidFill>
        <a:ln w="12700">
          <a:solidFill>
            <a:srgbClr val="80808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L"/>
    </a:p>
  </c:txPr>
  <c:printSettings>
    <c:headerFooter alignWithMargins="0"/>
    <c:pageMargins b="1" l="0.75" r="0.75" t="1" header="0.5" footer="0.5"/>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28.xml"/><Relationship Id="rId13" Type="http://schemas.openxmlformats.org/officeDocument/2006/relationships/chart" Target="../charts/chart33.xml"/><Relationship Id="rId18" Type="http://schemas.openxmlformats.org/officeDocument/2006/relationships/chart" Target="../charts/chart38.xml"/><Relationship Id="rId3" Type="http://schemas.openxmlformats.org/officeDocument/2006/relationships/chart" Target="../charts/chart23.xml"/><Relationship Id="rId7" Type="http://schemas.openxmlformats.org/officeDocument/2006/relationships/chart" Target="../charts/chart27.xml"/><Relationship Id="rId12" Type="http://schemas.openxmlformats.org/officeDocument/2006/relationships/chart" Target="../charts/chart32.xml"/><Relationship Id="rId17" Type="http://schemas.openxmlformats.org/officeDocument/2006/relationships/chart" Target="../charts/chart37.xml"/><Relationship Id="rId2" Type="http://schemas.openxmlformats.org/officeDocument/2006/relationships/chart" Target="../charts/chart22.xml"/><Relationship Id="rId16" Type="http://schemas.openxmlformats.org/officeDocument/2006/relationships/chart" Target="../charts/chart36.xml"/><Relationship Id="rId20" Type="http://schemas.openxmlformats.org/officeDocument/2006/relationships/chart" Target="../charts/chart40.xml"/><Relationship Id="rId1" Type="http://schemas.openxmlformats.org/officeDocument/2006/relationships/chart" Target="../charts/chart21.xml"/><Relationship Id="rId6" Type="http://schemas.openxmlformats.org/officeDocument/2006/relationships/chart" Target="../charts/chart26.xml"/><Relationship Id="rId11" Type="http://schemas.openxmlformats.org/officeDocument/2006/relationships/chart" Target="../charts/chart31.xml"/><Relationship Id="rId5" Type="http://schemas.openxmlformats.org/officeDocument/2006/relationships/chart" Target="../charts/chart25.xml"/><Relationship Id="rId15" Type="http://schemas.openxmlformats.org/officeDocument/2006/relationships/chart" Target="../charts/chart35.xml"/><Relationship Id="rId10" Type="http://schemas.openxmlformats.org/officeDocument/2006/relationships/chart" Target="../charts/chart30.xml"/><Relationship Id="rId19" Type="http://schemas.openxmlformats.org/officeDocument/2006/relationships/chart" Target="../charts/chart39.xml"/><Relationship Id="rId4" Type="http://schemas.openxmlformats.org/officeDocument/2006/relationships/chart" Target="../charts/chart24.xml"/><Relationship Id="rId9" Type="http://schemas.openxmlformats.org/officeDocument/2006/relationships/chart" Target="../charts/chart29.xml"/><Relationship Id="rId14" Type="http://schemas.openxmlformats.org/officeDocument/2006/relationships/chart" Target="../charts/chart34.xml"/></Relationships>
</file>

<file path=xl/drawings/_rels/drawing3.xml.rels><?xml version="1.0" encoding="UTF-8" standalone="yes"?>
<Relationships xmlns="http://schemas.openxmlformats.org/package/2006/relationships"><Relationship Id="rId8" Type="http://schemas.openxmlformats.org/officeDocument/2006/relationships/chart" Target="../charts/chart48.xml"/><Relationship Id="rId13" Type="http://schemas.openxmlformats.org/officeDocument/2006/relationships/chart" Target="../charts/chart53.xml"/><Relationship Id="rId18" Type="http://schemas.openxmlformats.org/officeDocument/2006/relationships/chart" Target="../charts/chart58.xml"/><Relationship Id="rId3" Type="http://schemas.openxmlformats.org/officeDocument/2006/relationships/chart" Target="../charts/chart43.xml"/><Relationship Id="rId7" Type="http://schemas.openxmlformats.org/officeDocument/2006/relationships/chart" Target="../charts/chart47.xml"/><Relationship Id="rId12" Type="http://schemas.openxmlformats.org/officeDocument/2006/relationships/chart" Target="../charts/chart52.xml"/><Relationship Id="rId17" Type="http://schemas.openxmlformats.org/officeDocument/2006/relationships/chart" Target="../charts/chart57.xml"/><Relationship Id="rId2" Type="http://schemas.openxmlformats.org/officeDocument/2006/relationships/chart" Target="../charts/chart42.xml"/><Relationship Id="rId16" Type="http://schemas.openxmlformats.org/officeDocument/2006/relationships/chart" Target="../charts/chart56.xml"/><Relationship Id="rId20" Type="http://schemas.openxmlformats.org/officeDocument/2006/relationships/chart" Target="../charts/chart60.xml"/><Relationship Id="rId1" Type="http://schemas.openxmlformats.org/officeDocument/2006/relationships/chart" Target="../charts/chart41.xml"/><Relationship Id="rId6" Type="http://schemas.openxmlformats.org/officeDocument/2006/relationships/chart" Target="../charts/chart46.xml"/><Relationship Id="rId11" Type="http://schemas.openxmlformats.org/officeDocument/2006/relationships/chart" Target="../charts/chart51.xml"/><Relationship Id="rId5" Type="http://schemas.openxmlformats.org/officeDocument/2006/relationships/chart" Target="../charts/chart45.xml"/><Relationship Id="rId15" Type="http://schemas.openxmlformats.org/officeDocument/2006/relationships/chart" Target="../charts/chart55.xml"/><Relationship Id="rId10" Type="http://schemas.openxmlformats.org/officeDocument/2006/relationships/chart" Target="../charts/chart50.xml"/><Relationship Id="rId19" Type="http://schemas.openxmlformats.org/officeDocument/2006/relationships/chart" Target="../charts/chart59.xml"/><Relationship Id="rId4" Type="http://schemas.openxmlformats.org/officeDocument/2006/relationships/chart" Target="../charts/chart44.xml"/><Relationship Id="rId9" Type="http://schemas.openxmlformats.org/officeDocument/2006/relationships/chart" Target="../charts/chart49.xml"/><Relationship Id="rId14" Type="http://schemas.openxmlformats.org/officeDocument/2006/relationships/chart" Target="../charts/chart54.xml"/></Relationships>
</file>

<file path=xl/drawings/drawing1.xml><?xml version="1.0" encoding="utf-8"?>
<xdr:wsDr xmlns:xdr="http://schemas.openxmlformats.org/drawingml/2006/spreadsheetDrawing" xmlns:a="http://schemas.openxmlformats.org/drawingml/2006/main">
  <xdr:twoCellAnchor>
    <xdr:from>
      <xdr:col>1</xdr:col>
      <xdr:colOff>28575</xdr:colOff>
      <xdr:row>58</xdr:row>
      <xdr:rowOff>133350</xdr:rowOff>
    </xdr:from>
    <xdr:to>
      <xdr:col>3</xdr:col>
      <xdr:colOff>228600</xdr:colOff>
      <xdr:row>68</xdr:row>
      <xdr:rowOff>133350</xdr:rowOff>
    </xdr:to>
    <xdr:graphicFrame macro="">
      <xdr:nvGraphicFramePr>
        <xdr:cNvPr id="2" name="Chart 1">
          <a:extLst>
            <a:ext uri="{FF2B5EF4-FFF2-40B4-BE49-F238E27FC236}">
              <a16:creationId xmlns:a16="http://schemas.microsoft.com/office/drawing/2014/main" id="{305EAC71-E7B8-A74E-ACE6-D210526F03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285750</xdr:colOff>
      <xdr:row>58</xdr:row>
      <xdr:rowOff>133350</xdr:rowOff>
    </xdr:from>
    <xdr:to>
      <xdr:col>6</xdr:col>
      <xdr:colOff>381000</xdr:colOff>
      <xdr:row>68</xdr:row>
      <xdr:rowOff>133350</xdr:rowOff>
    </xdr:to>
    <xdr:graphicFrame macro="">
      <xdr:nvGraphicFramePr>
        <xdr:cNvPr id="3" name="Chart 5">
          <a:extLst>
            <a:ext uri="{FF2B5EF4-FFF2-40B4-BE49-F238E27FC236}">
              <a16:creationId xmlns:a16="http://schemas.microsoft.com/office/drawing/2014/main" id="{A27F2409-71C0-9640-8511-A4BD5E405F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28575</xdr:colOff>
      <xdr:row>69</xdr:row>
      <xdr:rowOff>38100</xdr:rowOff>
    </xdr:from>
    <xdr:to>
      <xdr:col>3</xdr:col>
      <xdr:colOff>228600</xdr:colOff>
      <xdr:row>79</xdr:row>
      <xdr:rowOff>47625</xdr:rowOff>
    </xdr:to>
    <xdr:graphicFrame macro="">
      <xdr:nvGraphicFramePr>
        <xdr:cNvPr id="4" name="Chart 44">
          <a:extLst>
            <a:ext uri="{FF2B5EF4-FFF2-40B4-BE49-F238E27FC236}">
              <a16:creationId xmlns:a16="http://schemas.microsoft.com/office/drawing/2014/main" id="{65FA7D00-9CC1-3048-B70B-BB02FA4993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285750</xdr:colOff>
      <xdr:row>69</xdr:row>
      <xdr:rowOff>38100</xdr:rowOff>
    </xdr:from>
    <xdr:to>
      <xdr:col>6</xdr:col>
      <xdr:colOff>381000</xdr:colOff>
      <xdr:row>79</xdr:row>
      <xdr:rowOff>47625</xdr:rowOff>
    </xdr:to>
    <xdr:graphicFrame macro="">
      <xdr:nvGraphicFramePr>
        <xdr:cNvPr id="5" name="Chart 45">
          <a:extLst>
            <a:ext uri="{FF2B5EF4-FFF2-40B4-BE49-F238E27FC236}">
              <a16:creationId xmlns:a16="http://schemas.microsoft.com/office/drawing/2014/main" id="{6A18F09E-4219-2D45-87B6-780451521E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28575</xdr:colOff>
      <xdr:row>79</xdr:row>
      <xdr:rowOff>133350</xdr:rowOff>
    </xdr:from>
    <xdr:to>
      <xdr:col>3</xdr:col>
      <xdr:colOff>228600</xdr:colOff>
      <xdr:row>89</xdr:row>
      <xdr:rowOff>104775</xdr:rowOff>
    </xdr:to>
    <xdr:graphicFrame macro="">
      <xdr:nvGraphicFramePr>
        <xdr:cNvPr id="6" name="Chart 46">
          <a:extLst>
            <a:ext uri="{FF2B5EF4-FFF2-40B4-BE49-F238E27FC236}">
              <a16:creationId xmlns:a16="http://schemas.microsoft.com/office/drawing/2014/main" id="{9BD805B5-FF15-0248-85FD-55AC1E41D2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285750</xdr:colOff>
      <xdr:row>79</xdr:row>
      <xdr:rowOff>133350</xdr:rowOff>
    </xdr:from>
    <xdr:to>
      <xdr:col>6</xdr:col>
      <xdr:colOff>381000</xdr:colOff>
      <xdr:row>89</xdr:row>
      <xdr:rowOff>104775</xdr:rowOff>
    </xdr:to>
    <xdr:graphicFrame macro="">
      <xdr:nvGraphicFramePr>
        <xdr:cNvPr id="7" name="Chart 47">
          <a:extLst>
            <a:ext uri="{FF2B5EF4-FFF2-40B4-BE49-F238E27FC236}">
              <a16:creationId xmlns:a16="http://schemas.microsoft.com/office/drawing/2014/main" id="{24D195DA-95C7-A643-8710-CA5DBDD8CD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47625</xdr:colOff>
      <xdr:row>90</xdr:row>
      <xdr:rowOff>38100</xdr:rowOff>
    </xdr:from>
    <xdr:to>
      <xdr:col>3</xdr:col>
      <xdr:colOff>247650</xdr:colOff>
      <xdr:row>100</xdr:row>
      <xdr:rowOff>95250</xdr:rowOff>
    </xdr:to>
    <xdr:graphicFrame macro="">
      <xdr:nvGraphicFramePr>
        <xdr:cNvPr id="8" name="Chart 48">
          <a:extLst>
            <a:ext uri="{FF2B5EF4-FFF2-40B4-BE49-F238E27FC236}">
              <a16:creationId xmlns:a16="http://schemas.microsoft.com/office/drawing/2014/main" id="{618FF03B-1B1E-0A4E-A6D0-81CEC3F9DA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295275</xdr:colOff>
      <xdr:row>90</xdr:row>
      <xdr:rowOff>38100</xdr:rowOff>
    </xdr:from>
    <xdr:to>
      <xdr:col>6</xdr:col>
      <xdr:colOff>390525</xdr:colOff>
      <xdr:row>100</xdr:row>
      <xdr:rowOff>95250</xdr:rowOff>
    </xdr:to>
    <xdr:graphicFrame macro="">
      <xdr:nvGraphicFramePr>
        <xdr:cNvPr id="9" name="Chart 49">
          <a:extLst>
            <a:ext uri="{FF2B5EF4-FFF2-40B4-BE49-F238E27FC236}">
              <a16:creationId xmlns:a16="http://schemas.microsoft.com/office/drawing/2014/main" id="{FE6DC427-DD89-0942-A06C-DD9F3FF7F4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47625</xdr:colOff>
      <xdr:row>101</xdr:row>
      <xdr:rowOff>0</xdr:rowOff>
    </xdr:from>
    <xdr:to>
      <xdr:col>3</xdr:col>
      <xdr:colOff>247650</xdr:colOff>
      <xdr:row>111</xdr:row>
      <xdr:rowOff>9525</xdr:rowOff>
    </xdr:to>
    <xdr:graphicFrame macro="">
      <xdr:nvGraphicFramePr>
        <xdr:cNvPr id="10" name="Chart 50">
          <a:extLst>
            <a:ext uri="{FF2B5EF4-FFF2-40B4-BE49-F238E27FC236}">
              <a16:creationId xmlns:a16="http://schemas.microsoft.com/office/drawing/2014/main" id="{7D4ADD02-1822-3C42-A25B-325E7A07A3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295275</xdr:colOff>
      <xdr:row>101</xdr:row>
      <xdr:rowOff>0</xdr:rowOff>
    </xdr:from>
    <xdr:to>
      <xdr:col>6</xdr:col>
      <xdr:colOff>390525</xdr:colOff>
      <xdr:row>111</xdr:row>
      <xdr:rowOff>9525</xdr:rowOff>
    </xdr:to>
    <xdr:graphicFrame macro="">
      <xdr:nvGraphicFramePr>
        <xdr:cNvPr id="11" name="Chart 51">
          <a:extLst>
            <a:ext uri="{FF2B5EF4-FFF2-40B4-BE49-F238E27FC236}">
              <a16:creationId xmlns:a16="http://schemas.microsoft.com/office/drawing/2014/main" id="{7C56C304-C222-8A49-AA0C-8501F40CF6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18</xdr:col>
      <xdr:colOff>142875</xdr:colOff>
      <xdr:row>62</xdr:row>
      <xdr:rowOff>47625</xdr:rowOff>
    </xdr:from>
    <xdr:to>
      <xdr:col>21</xdr:col>
      <xdr:colOff>371475</xdr:colOff>
      <xdr:row>72</xdr:row>
      <xdr:rowOff>66675</xdr:rowOff>
    </xdr:to>
    <xdr:graphicFrame macro="">
      <xdr:nvGraphicFramePr>
        <xdr:cNvPr id="12" name="Chart 52">
          <a:extLst>
            <a:ext uri="{FF2B5EF4-FFF2-40B4-BE49-F238E27FC236}">
              <a16:creationId xmlns:a16="http://schemas.microsoft.com/office/drawing/2014/main" id="{532BF8E5-C197-484D-8B7D-FB547B0251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21</xdr:col>
      <xdr:colOff>419100</xdr:colOff>
      <xdr:row>62</xdr:row>
      <xdr:rowOff>47625</xdr:rowOff>
    </xdr:from>
    <xdr:to>
      <xdr:col>24</xdr:col>
      <xdr:colOff>514350</xdr:colOff>
      <xdr:row>72</xdr:row>
      <xdr:rowOff>66675</xdr:rowOff>
    </xdr:to>
    <xdr:graphicFrame macro="">
      <xdr:nvGraphicFramePr>
        <xdr:cNvPr id="13" name="Chart 53">
          <a:extLst>
            <a:ext uri="{FF2B5EF4-FFF2-40B4-BE49-F238E27FC236}">
              <a16:creationId xmlns:a16="http://schemas.microsoft.com/office/drawing/2014/main" id="{F614AFCF-9548-3841-BD57-C8D445055C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18</xdr:col>
      <xdr:colOff>142875</xdr:colOff>
      <xdr:row>73</xdr:row>
      <xdr:rowOff>0</xdr:rowOff>
    </xdr:from>
    <xdr:to>
      <xdr:col>21</xdr:col>
      <xdr:colOff>371475</xdr:colOff>
      <xdr:row>83</xdr:row>
      <xdr:rowOff>9525</xdr:rowOff>
    </xdr:to>
    <xdr:graphicFrame macro="">
      <xdr:nvGraphicFramePr>
        <xdr:cNvPr id="14" name="Chart 54">
          <a:extLst>
            <a:ext uri="{FF2B5EF4-FFF2-40B4-BE49-F238E27FC236}">
              <a16:creationId xmlns:a16="http://schemas.microsoft.com/office/drawing/2014/main" id="{785073B9-210B-564E-B5DB-12480D729F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21</xdr:col>
      <xdr:colOff>419100</xdr:colOff>
      <xdr:row>73</xdr:row>
      <xdr:rowOff>0</xdr:rowOff>
    </xdr:from>
    <xdr:to>
      <xdr:col>24</xdr:col>
      <xdr:colOff>514350</xdr:colOff>
      <xdr:row>83</xdr:row>
      <xdr:rowOff>9525</xdr:rowOff>
    </xdr:to>
    <xdr:graphicFrame macro="">
      <xdr:nvGraphicFramePr>
        <xdr:cNvPr id="15" name="Chart 55">
          <a:extLst>
            <a:ext uri="{FF2B5EF4-FFF2-40B4-BE49-F238E27FC236}">
              <a16:creationId xmlns:a16="http://schemas.microsoft.com/office/drawing/2014/main" id="{6389FEA8-71C8-6F4E-8DA3-6E20F611A7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18</xdr:col>
      <xdr:colOff>142875</xdr:colOff>
      <xdr:row>83</xdr:row>
      <xdr:rowOff>76200</xdr:rowOff>
    </xdr:from>
    <xdr:to>
      <xdr:col>21</xdr:col>
      <xdr:colOff>371475</xdr:colOff>
      <xdr:row>93</xdr:row>
      <xdr:rowOff>95250</xdr:rowOff>
    </xdr:to>
    <xdr:graphicFrame macro="">
      <xdr:nvGraphicFramePr>
        <xdr:cNvPr id="16" name="Chart 56">
          <a:extLst>
            <a:ext uri="{FF2B5EF4-FFF2-40B4-BE49-F238E27FC236}">
              <a16:creationId xmlns:a16="http://schemas.microsoft.com/office/drawing/2014/main" id="{7F5A5308-F0CF-764F-A5DC-41B312A80D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21</xdr:col>
      <xdr:colOff>419100</xdr:colOff>
      <xdr:row>83</xdr:row>
      <xdr:rowOff>76200</xdr:rowOff>
    </xdr:from>
    <xdr:to>
      <xdr:col>24</xdr:col>
      <xdr:colOff>514350</xdr:colOff>
      <xdr:row>93</xdr:row>
      <xdr:rowOff>95250</xdr:rowOff>
    </xdr:to>
    <xdr:graphicFrame macro="">
      <xdr:nvGraphicFramePr>
        <xdr:cNvPr id="17" name="Chart 57">
          <a:extLst>
            <a:ext uri="{FF2B5EF4-FFF2-40B4-BE49-F238E27FC236}">
              <a16:creationId xmlns:a16="http://schemas.microsoft.com/office/drawing/2014/main" id="{02DAFB22-8A84-E844-BB18-266E000028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18</xdr:col>
      <xdr:colOff>171450</xdr:colOff>
      <xdr:row>94</xdr:row>
      <xdr:rowOff>47625</xdr:rowOff>
    </xdr:from>
    <xdr:to>
      <xdr:col>21</xdr:col>
      <xdr:colOff>390525</xdr:colOff>
      <xdr:row>104</xdr:row>
      <xdr:rowOff>66675</xdr:rowOff>
    </xdr:to>
    <xdr:graphicFrame macro="">
      <xdr:nvGraphicFramePr>
        <xdr:cNvPr id="18" name="Chart 58">
          <a:extLst>
            <a:ext uri="{FF2B5EF4-FFF2-40B4-BE49-F238E27FC236}">
              <a16:creationId xmlns:a16="http://schemas.microsoft.com/office/drawing/2014/main" id="{50E42722-D4F1-A644-BA16-FF472109F2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21</xdr:col>
      <xdr:colOff>438150</xdr:colOff>
      <xdr:row>94</xdr:row>
      <xdr:rowOff>47625</xdr:rowOff>
    </xdr:from>
    <xdr:to>
      <xdr:col>24</xdr:col>
      <xdr:colOff>533400</xdr:colOff>
      <xdr:row>104</xdr:row>
      <xdr:rowOff>66675</xdr:rowOff>
    </xdr:to>
    <xdr:graphicFrame macro="">
      <xdr:nvGraphicFramePr>
        <xdr:cNvPr id="19" name="Chart 59">
          <a:extLst>
            <a:ext uri="{FF2B5EF4-FFF2-40B4-BE49-F238E27FC236}">
              <a16:creationId xmlns:a16="http://schemas.microsoft.com/office/drawing/2014/main" id="{216489A5-1BDC-E642-9D10-25F9404B18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18</xdr:col>
      <xdr:colOff>171450</xdr:colOff>
      <xdr:row>104</xdr:row>
      <xdr:rowOff>123825</xdr:rowOff>
    </xdr:from>
    <xdr:to>
      <xdr:col>21</xdr:col>
      <xdr:colOff>390525</xdr:colOff>
      <xdr:row>114</xdr:row>
      <xdr:rowOff>133350</xdr:rowOff>
    </xdr:to>
    <xdr:graphicFrame macro="">
      <xdr:nvGraphicFramePr>
        <xdr:cNvPr id="20" name="Chart 60">
          <a:extLst>
            <a:ext uri="{FF2B5EF4-FFF2-40B4-BE49-F238E27FC236}">
              <a16:creationId xmlns:a16="http://schemas.microsoft.com/office/drawing/2014/main" id="{7E247198-0A40-6C44-837B-87C22D3AB4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21</xdr:col>
      <xdr:colOff>438150</xdr:colOff>
      <xdr:row>104</xdr:row>
      <xdr:rowOff>123825</xdr:rowOff>
    </xdr:from>
    <xdr:to>
      <xdr:col>24</xdr:col>
      <xdr:colOff>533400</xdr:colOff>
      <xdr:row>114</xdr:row>
      <xdr:rowOff>133350</xdr:rowOff>
    </xdr:to>
    <xdr:graphicFrame macro="">
      <xdr:nvGraphicFramePr>
        <xdr:cNvPr id="21" name="Chart 61">
          <a:extLst>
            <a:ext uri="{FF2B5EF4-FFF2-40B4-BE49-F238E27FC236}">
              <a16:creationId xmlns:a16="http://schemas.microsoft.com/office/drawing/2014/main" id="{10FA8ECC-19CC-2240-93E4-3DD65DB0E8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53</xdr:row>
      <xdr:rowOff>133350</xdr:rowOff>
    </xdr:from>
    <xdr:to>
      <xdr:col>3</xdr:col>
      <xdr:colOff>228600</xdr:colOff>
      <xdr:row>63</xdr:row>
      <xdr:rowOff>133350</xdr:rowOff>
    </xdr:to>
    <xdr:graphicFrame macro="">
      <xdr:nvGraphicFramePr>
        <xdr:cNvPr id="2" name="Chart 1">
          <a:extLst>
            <a:ext uri="{FF2B5EF4-FFF2-40B4-BE49-F238E27FC236}">
              <a16:creationId xmlns:a16="http://schemas.microsoft.com/office/drawing/2014/main" id="{FDEC139F-E86F-7A40-B3C7-4A5B8BB90B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285750</xdr:colOff>
      <xdr:row>53</xdr:row>
      <xdr:rowOff>133350</xdr:rowOff>
    </xdr:from>
    <xdr:to>
      <xdr:col>6</xdr:col>
      <xdr:colOff>381000</xdr:colOff>
      <xdr:row>63</xdr:row>
      <xdr:rowOff>133350</xdr:rowOff>
    </xdr:to>
    <xdr:graphicFrame macro="">
      <xdr:nvGraphicFramePr>
        <xdr:cNvPr id="3" name="Chart 5">
          <a:extLst>
            <a:ext uri="{FF2B5EF4-FFF2-40B4-BE49-F238E27FC236}">
              <a16:creationId xmlns:a16="http://schemas.microsoft.com/office/drawing/2014/main" id="{626E0E4F-8072-C442-81F2-490A96D0C3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28575</xdr:colOff>
      <xdr:row>64</xdr:row>
      <xdr:rowOff>38100</xdr:rowOff>
    </xdr:from>
    <xdr:to>
      <xdr:col>3</xdr:col>
      <xdr:colOff>228600</xdr:colOff>
      <xdr:row>74</xdr:row>
      <xdr:rowOff>47625</xdr:rowOff>
    </xdr:to>
    <xdr:graphicFrame macro="">
      <xdr:nvGraphicFramePr>
        <xdr:cNvPr id="4" name="Chart 44">
          <a:extLst>
            <a:ext uri="{FF2B5EF4-FFF2-40B4-BE49-F238E27FC236}">
              <a16:creationId xmlns:a16="http://schemas.microsoft.com/office/drawing/2014/main" id="{3DD66129-C19B-BC45-975A-407995237C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285750</xdr:colOff>
      <xdr:row>64</xdr:row>
      <xdr:rowOff>38100</xdr:rowOff>
    </xdr:from>
    <xdr:to>
      <xdr:col>6</xdr:col>
      <xdr:colOff>381000</xdr:colOff>
      <xdr:row>74</xdr:row>
      <xdr:rowOff>47625</xdr:rowOff>
    </xdr:to>
    <xdr:graphicFrame macro="">
      <xdr:nvGraphicFramePr>
        <xdr:cNvPr id="5" name="Chart 45">
          <a:extLst>
            <a:ext uri="{FF2B5EF4-FFF2-40B4-BE49-F238E27FC236}">
              <a16:creationId xmlns:a16="http://schemas.microsoft.com/office/drawing/2014/main" id="{B611A289-FBB0-5C4B-8724-0D3DEC27F5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28575</xdr:colOff>
      <xdr:row>74</xdr:row>
      <xdr:rowOff>133350</xdr:rowOff>
    </xdr:from>
    <xdr:to>
      <xdr:col>3</xdr:col>
      <xdr:colOff>228600</xdr:colOff>
      <xdr:row>84</xdr:row>
      <xdr:rowOff>104775</xdr:rowOff>
    </xdr:to>
    <xdr:graphicFrame macro="">
      <xdr:nvGraphicFramePr>
        <xdr:cNvPr id="6" name="Chart 46">
          <a:extLst>
            <a:ext uri="{FF2B5EF4-FFF2-40B4-BE49-F238E27FC236}">
              <a16:creationId xmlns:a16="http://schemas.microsoft.com/office/drawing/2014/main" id="{8A95F62C-9CC8-AE47-A9C5-AEDFEE808D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285750</xdr:colOff>
      <xdr:row>74</xdr:row>
      <xdr:rowOff>133350</xdr:rowOff>
    </xdr:from>
    <xdr:to>
      <xdr:col>6</xdr:col>
      <xdr:colOff>381000</xdr:colOff>
      <xdr:row>84</xdr:row>
      <xdr:rowOff>104775</xdr:rowOff>
    </xdr:to>
    <xdr:graphicFrame macro="">
      <xdr:nvGraphicFramePr>
        <xdr:cNvPr id="7" name="Chart 47">
          <a:extLst>
            <a:ext uri="{FF2B5EF4-FFF2-40B4-BE49-F238E27FC236}">
              <a16:creationId xmlns:a16="http://schemas.microsoft.com/office/drawing/2014/main" id="{685AA275-CF95-C742-95E0-DBEB33FBFE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47625</xdr:colOff>
      <xdr:row>85</xdr:row>
      <xdr:rowOff>38100</xdr:rowOff>
    </xdr:from>
    <xdr:to>
      <xdr:col>3</xdr:col>
      <xdr:colOff>247650</xdr:colOff>
      <xdr:row>95</xdr:row>
      <xdr:rowOff>95250</xdr:rowOff>
    </xdr:to>
    <xdr:graphicFrame macro="">
      <xdr:nvGraphicFramePr>
        <xdr:cNvPr id="8" name="Chart 48">
          <a:extLst>
            <a:ext uri="{FF2B5EF4-FFF2-40B4-BE49-F238E27FC236}">
              <a16:creationId xmlns:a16="http://schemas.microsoft.com/office/drawing/2014/main" id="{EBADF8B5-B139-5141-9BFF-BF49491078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295275</xdr:colOff>
      <xdr:row>85</xdr:row>
      <xdr:rowOff>38100</xdr:rowOff>
    </xdr:from>
    <xdr:to>
      <xdr:col>6</xdr:col>
      <xdr:colOff>390525</xdr:colOff>
      <xdr:row>95</xdr:row>
      <xdr:rowOff>95250</xdr:rowOff>
    </xdr:to>
    <xdr:graphicFrame macro="">
      <xdr:nvGraphicFramePr>
        <xdr:cNvPr id="9" name="Chart 49">
          <a:extLst>
            <a:ext uri="{FF2B5EF4-FFF2-40B4-BE49-F238E27FC236}">
              <a16:creationId xmlns:a16="http://schemas.microsoft.com/office/drawing/2014/main" id="{44DB4323-F520-914E-AB72-8A3AF151E6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47625</xdr:colOff>
      <xdr:row>96</xdr:row>
      <xdr:rowOff>0</xdr:rowOff>
    </xdr:from>
    <xdr:to>
      <xdr:col>3</xdr:col>
      <xdr:colOff>247650</xdr:colOff>
      <xdr:row>106</xdr:row>
      <xdr:rowOff>9525</xdr:rowOff>
    </xdr:to>
    <xdr:graphicFrame macro="">
      <xdr:nvGraphicFramePr>
        <xdr:cNvPr id="10" name="Chart 50">
          <a:extLst>
            <a:ext uri="{FF2B5EF4-FFF2-40B4-BE49-F238E27FC236}">
              <a16:creationId xmlns:a16="http://schemas.microsoft.com/office/drawing/2014/main" id="{FFC92DA0-C64A-B44C-862F-5F7E6D6500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295275</xdr:colOff>
      <xdr:row>96</xdr:row>
      <xdr:rowOff>0</xdr:rowOff>
    </xdr:from>
    <xdr:to>
      <xdr:col>6</xdr:col>
      <xdr:colOff>390525</xdr:colOff>
      <xdr:row>106</xdr:row>
      <xdr:rowOff>9525</xdr:rowOff>
    </xdr:to>
    <xdr:graphicFrame macro="">
      <xdr:nvGraphicFramePr>
        <xdr:cNvPr id="11" name="Chart 51">
          <a:extLst>
            <a:ext uri="{FF2B5EF4-FFF2-40B4-BE49-F238E27FC236}">
              <a16:creationId xmlns:a16="http://schemas.microsoft.com/office/drawing/2014/main" id="{673272F9-9389-384B-A02E-6602F0CED7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18</xdr:col>
      <xdr:colOff>142875</xdr:colOff>
      <xdr:row>57</xdr:row>
      <xdr:rowOff>47625</xdr:rowOff>
    </xdr:from>
    <xdr:to>
      <xdr:col>21</xdr:col>
      <xdr:colOff>371475</xdr:colOff>
      <xdr:row>67</xdr:row>
      <xdr:rowOff>66675</xdr:rowOff>
    </xdr:to>
    <xdr:graphicFrame macro="">
      <xdr:nvGraphicFramePr>
        <xdr:cNvPr id="12" name="Chart 52">
          <a:extLst>
            <a:ext uri="{FF2B5EF4-FFF2-40B4-BE49-F238E27FC236}">
              <a16:creationId xmlns:a16="http://schemas.microsoft.com/office/drawing/2014/main" id="{616230DC-14DC-4444-AABE-2BFB628BB7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21</xdr:col>
      <xdr:colOff>419100</xdr:colOff>
      <xdr:row>57</xdr:row>
      <xdr:rowOff>47625</xdr:rowOff>
    </xdr:from>
    <xdr:to>
      <xdr:col>24</xdr:col>
      <xdr:colOff>514350</xdr:colOff>
      <xdr:row>67</xdr:row>
      <xdr:rowOff>66675</xdr:rowOff>
    </xdr:to>
    <xdr:graphicFrame macro="">
      <xdr:nvGraphicFramePr>
        <xdr:cNvPr id="13" name="Chart 53">
          <a:extLst>
            <a:ext uri="{FF2B5EF4-FFF2-40B4-BE49-F238E27FC236}">
              <a16:creationId xmlns:a16="http://schemas.microsoft.com/office/drawing/2014/main" id="{3805D6BC-18D7-FC40-9B80-66C9E1E5AB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18</xdr:col>
      <xdr:colOff>142875</xdr:colOff>
      <xdr:row>68</xdr:row>
      <xdr:rowOff>0</xdr:rowOff>
    </xdr:from>
    <xdr:to>
      <xdr:col>21</xdr:col>
      <xdr:colOff>371475</xdr:colOff>
      <xdr:row>78</xdr:row>
      <xdr:rowOff>9525</xdr:rowOff>
    </xdr:to>
    <xdr:graphicFrame macro="">
      <xdr:nvGraphicFramePr>
        <xdr:cNvPr id="14" name="Chart 54">
          <a:extLst>
            <a:ext uri="{FF2B5EF4-FFF2-40B4-BE49-F238E27FC236}">
              <a16:creationId xmlns:a16="http://schemas.microsoft.com/office/drawing/2014/main" id="{3F743F12-6147-E44A-9128-8FE77F65FF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21</xdr:col>
      <xdr:colOff>419100</xdr:colOff>
      <xdr:row>68</xdr:row>
      <xdr:rowOff>0</xdr:rowOff>
    </xdr:from>
    <xdr:to>
      <xdr:col>24</xdr:col>
      <xdr:colOff>514350</xdr:colOff>
      <xdr:row>78</xdr:row>
      <xdr:rowOff>9525</xdr:rowOff>
    </xdr:to>
    <xdr:graphicFrame macro="">
      <xdr:nvGraphicFramePr>
        <xdr:cNvPr id="15" name="Chart 55">
          <a:extLst>
            <a:ext uri="{FF2B5EF4-FFF2-40B4-BE49-F238E27FC236}">
              <a16:creationId xmlns:a16="http://schemas.microsoft.com/office/drawing/2014/main" id="{345AA8C6-A478-0340-BB61-F70FA7B294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18</xdr:col>
      <xdr:colOff>142875</xdr:colOff>
      <xdr:row>78</xdr:row>
      <xdr:rowOff>76200</xdr:rowOff>
    </xdr:from>
    <xdr:to>
      <xdr:col>21</xdr:col>
      <xdr:colOff>371475</xdr:colOff>
      <xdr:row>88</xdr:row>
      <xdr:rowOff>95250</xdr:rowOff>
    </xdr:to>
    <xdr:graphicFrame macro="">
      <xdr:nvGraphicFramePr>
        <xdr:cNvPr id="16" name="Chart 56">
          <a:extLst>
            <a:ext uri="{FF2B5EF4-FFF2-40B4-BE49-F238E27FC236}">
              <a16:creationId xmlns:a16="http://schemas.microsoft.com/office/drawing/2014/main" id="{C6BC5940-09CC-3644-B6FE-EB81C08116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21</xdr:col>
      <xdr:colOff>419100</xdr:colOff>
      <xdr:row>78</xdr:row>
      <xdr:rowOff>76200</xdr:rowOff>
    </xdr:from>
    <xdr:to>
      <xdr:col>24</xdr:col>
      <xdr:colOff>514350</xdr:colOff>
      <xdr:row>88</xdr:row>
      <xdr:rowOff>95250</xdr:rowOff>
    </xdr:to>
    <xdr:graphicFrame macro="">
      <xdr:nvGraphicFramePr>
        <xdr:cNvPr id="17" name="Chart 57">
          <a:extLst>
            <a:ext uri="{FF2B5EF4-FFF2-40B4-BE49-F238E27FC236}">
              <a16:creationId xmlns:a16="http://schemas.microsoft.com/office/drawing/2014/main" id="{AA4AFE96-E7D5-884A-9353-E85B5ACDB1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18</xdr:col>
      <xdr:colOff>171450</xdr:colOff>
      <xdr:row>89</xdr:row>
      <xdr:rowOff>47625</xdr:rowOff>
    </xdr:from>
    <xdr:to>
      <xdr:col>21</xdr:col>
      <xdr:colOff>390525</xdr:colOff>
      <xdr:row>99</xdr:row>
      <xdr:rowOff>66675</xdr:rowOff>
    </xdr:to>
    <xdr:graphicFrame macro="">
      <xdr:nvGraphicFramePr>
        <xdr:cNvPr id="18" name="Chart 58">
          <a:extLst>
            <a:ext uri="{FF2B5EF4-FFF2-40B4-BE49-F238E27FC236}">
              <a16:creationId xmlns:a16="http://schemas.microsoft.com/office/drawing/2014/main" id="{580F7984-B9B3-5543-861D-0FDFFFBCF5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21</xdr:col>
      <xdr:colOff>438150</xdr:colOff>
      <xdr:row>89</xdr:row>
      <xdr:rowOff>47625</xdr:rowOff>
    </xdr:from>
    <xdr:to>
      <xdr:col>24</xdr:col>
      <xdr:colOff>533400</xdr:colOff>
      <xdr:row>99</xdr:row>
      <xdr:rowOff>66675</xdr:rowOff>
    </xdr:to>
    <xdr:graphicFrame macro="">
      <xdr:nvGraphicFramePr>
        <xdr:cNvPr id="19" name="Chart 59">
          <a:extLst>
            <a:ext uri="{FF2B5EF4-FFF2-40B4-BE49-F238E27FC236}">
              <a16:creationId xmlns:a16="http://schemas.microsoft.com/office/drawing/2014/main" id="{A4B6AF81-9525-324F-BFD5-024D74C1F6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18</xdr:col>
      <xdr:colOff>171450</xdr:colOff>
      <xdr:row>99</xdr:row>
      <xdr:rowOff>123825</xdr:rowOff>
    </xdr:from>
    <xdr:to>
      <xdr:col>21</xdr:col>
      <xdr:colOff>390525</xdr:colOff>
      <xdr:row>109</xdr:row>
      <xdr:rowOff>133350</xdr:rowOff>
    </xdr:to>
    <xdr:graphicFrame macro="">
      <xdr:nvGraphicFramePr>
        <xdr:cNvPr id="20" name="Chart 60">
          <a:extLst>
            <a:ext uri="{FF2B5EF4-FFF2-40B4-BE49-F238E27FC236}">
              <a16:creationId xmlns:a16="http://schemas.microsoft.com/office/drawing/2014/main" id="{902348F9-8144-EA4C-8778-AEDAD62C1A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21</xdr:col>
      <xdr:colOff>438150</xdr:colOff>
      <xdr:row>99</xdr:row>
      <xdr:rowOff>123825</xdr:rowOff>
    </xdr:from>
    <xdr:to>
      <xdr:col>24</xdr:col>
      <xdr:colOff>533400</xdr:colOff>
      <xdr:row>109</xdr:row>
      <xdr:rowOff>133350</xdr:rowOff>
    </xdr:to>
    <xdr:graphicFrame macro="">
      <xdr:nvGraphicFramePr>
        <xdr:cNvPr id="21" name="Chart 61">
          <a:extLst>
            <a:ext uri="{FF2B5EF4-FFF2-40B4-BE49-F238E27FC236}">
              <a16:creationId xmlns:a16="http://schemas.microsoft.com/office/drawing/2014/main" id="{EC41A81E-6BE1-984A-BD07-F34ABD4184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xdr:colOff>
      <xdr:row>53</xdr:row>
      <xdr:rowOff>133350</xdr:rowOff>
    </xdr:from>
    <xdr:to>
      <xdr:col>3</xdr:col>
      <xdr:colOff>228600</xdr:colOff>
      <xdr:row>63</xdr:row>
      <xdr:rowOff>133350</xdr:rowOff>
    </xdr:to>
    <xdr:graphicFrame macro="">
      <xdr:nvGraphicFramePr>
        <xdr:cNvPr id="2" name="Chart 1">
          <a:extLst>
            <a:ext uri="{FF2B5EF4-FFF2-40B4-BE49-F238E27FC236}">
              <a16:creationId xmlns:a16="http://schemas.microsoft.com/office/drawing/2014/main" id="{B8348022-F1E4-9541-AB34-1E80C4EE4D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285750</xdr:colOff>
      <xdr:row>53</xdr:row>
      <xdr:rowOff>133350</xdr:rowOff>
    </xdr:from>
    <xdr:to>
      <xdr:col>6</xdr:col>
      <xdr:colOff>381000</xdr:colOff>
      <xdr:row>63</xdr:row>
      <xdr:rowOff>133350</xdr:rowOff>
    </xdr:to>
    <xdr:graphicFrame macro="">
      <xdr:nvGraphicFramePr>
        <xdr:cNvPr id="3" name="Chart 5">
          <a:extLst>
            <a:ext uri="{FF2B5EF4-FFF2-40B4-BE49-F238E27FC236}">
              <a16:creationId xmlns:a16="http://schemas.microsoft.com/office/drawing/2014/main" id="{48A3D1BB-7CD6-3647-B4C3-3A69D36A5A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28575</xdr:colOff>
      <xdr:row>64</xdr:row>
      <xdr:rowOff>38100</xdr:rowOff>
    </xdr:from>
    <xdr:to>
      <xdr:col>3</xdr:col>
      <xdr:colOff>228600</xdr:colOff>
      <xdr:row>74</xdr:row>
      <xdr:rowOff>47625</xdr:rowOff>
    </xdr:to>
    <xdr:graphicFrame macro="">
      <xdr:nvGraphicFramePr>
        <xdr:cNvPr id="4" name="Chart 44">
          <a:extLst>
            <a:ext uri="{FF2B5EF4-FFF2-40B4-BE49-F238E27FC236}">
              <a16:creationId xmlns:a16="http://schemas.microsoft.com/office/drawing/2014/main" id="{87ABF958-D9F8-DA47-A99A-05000925AC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285750</xdr:colOff>
      <xdr:row>64</xdr:row>
      <xdr:rowOff>38100</xdr:rowOff>
    </xdr:from>
    <xdr:to>
      <xdr:col>6</xdr:col>
      <xdr:colOff>381000</xdr:colOff>
      <xdr:row>74</xdr:row>
      <xdr:rowOff>47625</xdr:rowOff>
    </xdr:to>
    <xdr:graphicFrame macro="">
      <xdr:nvGraphicFramePr>
        <xdr:cNvPr id="5" name="Chart 45">
          <a:extLst>
            <a:ext uri="{FF2B5EF4-FFF2-40B4-BE49-F238E27FC236}">
              <a16:creationId xmlns:a16="http://schemas.microsoft.com/office/drawing/2014/main" id="{63A08E10-3D29-1D42-BFCF-CAF5F9DFC2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28575</xdr:colOff>
      <xdr:row>74</xdr:row>
      <xdr:rowOff>133350</xdr:rowOff>
    </xdr:from>
    <xdr:to>
      <xdr:col>3</xdr:col>
      <xdr:colOff>228600</xdr:colOff>
      <xdr:row>84</xdr:row>
      <xdr:rowOff>104775</xdr:rowOff>
    </xdr:to>
    <xdr:graphicFrame macro="">
      <xdr:nvGraphicFramePr>
        <xdr:cNvPr id="6" name="Chart 46">
          <a:extLst>
            <a:ext uri="{FF2B5EF4-FFF2-40B4-BE49-F238E27FC236}">
              <a16:creationId xmlns:a16="http://schemas.microsoft.com/office/drawing/2014/main" id="{1D678A77-32B8-B546-84C6-3CACD88F8C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285750</xdr:colOff>
      <xdr:row>74</xdr:row>
      <xdr:rowOff>133350</xdr:rowOff>
    </xdr:from>
    <xdr:to>
      <xdr:col>6</xdr:col>
      <xdr:colOff>381000</xdr:colOff>
      <xdr:row>84</xdr:row>
      <xdr:rowOff>104775</xdr:rowOff>
    </xdr:to>
    <xdr:graphicFrame macro="">
      <xdr:nvGraphicFramePr>
        <xdr:cNvPr id="7" name="Chart 47">
          <a:extLst>
            <a:ext uri="{FF2B5EF4-FFF2-40B4-BE49-F238E27FC236}">
              <a16:creationId xmlns:a16="http://schemas.microsoft.com/office/drawing/2014/main" id="{E0674809-499F-734B-B980-218B1629D7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47625</xdr:colOff>
      <xdr:row>85</xdr:row>
      <xdr:rowOff>38100</xdr:rowOff>
    </xdr:from>
    <xdr:to>
      <xdr:col>3</xdr:col>
      <xdr:colOff>247650</xdr:colOff>
      <xdr:row>95</xdr:row>
      <xdr:rowOff>95250</xdr:rowOff>
    </xdr:to>
    <xdr:graphicFrame macro="">
      <xdr:nvGraphicFramePr>
        <xdr:cNvPr id="8" name="Chart 48">
          <a:extLst>
            <a:ext uri="{FF2B5EF4-FFF2-40B4-BE49-F238E27FC236}">
              <a16:creationId xmlns:a16="http://schemas.microsoft.com/office/drawing/2014/main" id="{CC3E8B85-CCD4-B34D-AEAE-DFC03DA4C6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295275</xdr:colOff>
      <xdr:row>85</xdr:row>
      <xdr:rowOff>38100</xdr:rowOff>
    </xdr:from>
    <xdr:to>
      <xdr:col>6</xdr:col>
      <xdr:colOff>390525</xdr:colOff>
      <xdr:row>95</xdr:row>
      <xdr:rowOff>95250</xdr:rowOff>
    </xdr:to>
    <xdr:graphicFrame macro="">
      <xdr:nvGraphicFramePr>
        <xdr:cNvPr id="9" name="Chart 49">
          <a:extLst>
            <a:ext uri="{FF2B5EF4-FFF2-40B4-BE49-F238E27FC236}">
              <a16:creationId xmlns:a16="http://schemas.microsoft.com/office/drawing/2014/main" id="{638E6A1E-15C0-6C44-9226-94795B1C12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47625</xdr:colOff>
      <xdr:row>96</xdr:row>
      <xdr:rowOff>0</xdr:rowOff>
    </xdr:from>
    <xdr:to>
      <xdr:col>3</xdr:col>
      <xdr:colOff>247650</xdr:colOff>
      <xdr:row>106</xdr:row>
      <xdr:rowOff>9525</xdr:rowOff>
    </xdr:to>
    <xdr:graphicFrame macro="">
      <xdr:nvGraphicFramePr>
        <xdr:cNvPr id="10" name="Chart 50">
          <a:extLst>
            <a:ext uri="{FF2B5EF4-FFF2-40B4-BE49-F238E27FC236}">
              <a16:creationId xmlns:a16="http://schemas.microsoft.com/office/drawing/2014/main" id="{0681ACF1-189E-F541-A64B-FC4BD68B0B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295275</xdr:colOff>
      <xdr:row>96</xdr:row>
      <xdr:rowOff>0</xdr:rowOff>
    </xdr:from>
    <xdr:to>
      <xdr:col>6</xdr:col>
      <xdr:colOff>390525</xdr:colOff>
      <xdr:row>106</xdr:row>
      <xdr:rowOff>9525</xdr:rowOff>
    </xdr:to>
    <xdr:graphicFrame macro="">
      <xdr:nvGraphicFramePr>
        <xdr:cNvPr id="11" name="Chart 51">
          <a:extLst>
            <a:ext uri="{FF2B5EF4-FFF2-40B4-BE49-F238E27FC236}">
              <a16:creationId xmlns:a16="http://schemas.microsoft.com/office/drawing/2014/main" id="{D5D86D5A-382C-0041-BAD5-7C86652432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18</xdr:col>
      <xdr:colOff>142875</xdr:colOff>
      <xdr:row>57</xdr:row>
      <xdr:rowOff>47625</xdr:rowOff>
    </xdr:from>
    <xdr:to>
      <xdr:col>21</xdr:col>
      <xdr:colOff>371475</xdr:colOff>
      <xdr:row>67</xdr:row>
      <xdr:rowOff>66675</xdr:rowOff>
    </xdr:to>
    <xdr:graphicFrame macro="">
      <xdr:nvGraphicFramePr>
        <xdr:cNvPr id="12" name="Chart 52">
          <a:extLst>
            <a:ext uri="{FF2B5EF4-FFF2-40B4-BE49-F238E27FC236}">
              <a16:creationId xmlns:a16="http://schemas.microsoft.com/office/drawing/2014/main" id="{09D3032E-88F8-A345-9A99-925BC9B604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21</xdr:col>
      <xdr:colOff>419100</xdr:colOff>
      <xdr:row>57</xdr:row>
      <xdr:rowOff>47625</xdr:rowOff>
    </xdr:from>
    <xdr:to>
      <xdr:col>24</xdr:col>
      <xdr:colOff>514350</xdr:colOff>
      <xdr:row>67</xdr:row>
      <xdr:rowOff>66675</xdr:rowOff>
    </xdr:to>
    <xdr:graphicFrame macro="">
      <xdr:nvGraphicFramePr>
        <xdr:cNvPr id="13" name="Chart 53">
          <a:extLst>
            <a:ext uri="{FF2B5EF4-FFF2-40B4-BE49-F238E27FC236}">
              <a16:creationId xmlns:a16="http://schemas.microsoft.com/office/drawing/2014/main" id="{6731E6DC-C3BC-A943-863E-73B0CB2E4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18</xdr:col>
      <xdr:colOff>142875</xdr:colOff>
      <xdr:row>68</xdr:row>
      <xdr:rowOff>0</xdr:rowOff>
    </xdr:from>
    <xdr:to>
      <xdr:col>21</xdr:col>
      <xdr:colOff>371475</xdr:colOff>
      <xdr:row>78</xdr:row>
      <xdr:rowOff>9525</xdr:rowOff>
    </xdr:to>
    <xdr:graphicFrame macro="">
      <xdr:nvGraphicFramePr>
        <xdr:cNvPr id="14" name="Chart 54">
          <a:extLst>
            <a:ext uri="{FF2B5EF4-FFF2-40B4-BE49-F238E27FC236}">
              <a16:creationId xmlns:a16="http://schemas.microsoft.com/office/drawing/2014/main" id="{BE04C680-8096-DF43-82AF-A9B0377AE6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21</xdr:col>
      <xdr:colOff>419100</xdr:colOff>
      <xdr:row>68</xdr:row>
      <xdr:rowOff>0</xdr:rowOff>
    </xdr:from>
    <xdr:to>
      <xdr:col>24</xdr:col>
      <xdr:colOff>514350</xdr:colOff>
      <xdr:row>78</xdr:row>
      <xdr:rowOff>9525</xdr:rowOff>
    </xdr:to>
    <xdr:graphicFrame macro="">
      <xdr:nvGraphicFramePr>
        <xdr:cNvPr id="15" name="Chart 55">
          <a:extLst>
            <a:ext uri="{FF2B5EF4-FFF2-40B4-BE49-F238E27FC236}">
              <a16:creationId xmlns:a16="http://schemas.microsoft.com/office/drawing/2014/main" id="{85D9D553-D304-9F4B-B468-339825A3A4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18</xdr:col>
      <xdr:colOff>142875</xdr:colOff>
      <xdr:row>78</xdr:row>
      <xdr:rowOff>76200</xdr:rowOff>
    </xdr:from>
    <xdr:to>
      <xdr:col>21</xdr:col>
      <xdr:colOff>371475</xdr:colOff>
      <xdr:row>88</xdr:row>
      <xdr:rowOff>95250</xdr:rowOff>
    </xdr:to>
    <xdr:graphicFrame macro="">
      <xdr:nvGraphicFramePr>
        <xdr:cNvPr id="16" name="Chart 56">
          <a:extLst>
            <a:ext uri="{FF2B5EF4-FFF2-40B4-BE49-F238E27FC236}">
              <a16:creationId xmlns:a16="http://schemas.microsoft.com/office/drawing/2014/main" id="{4202F0C9-477F-804D-9889-F842DA8B95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21</xdr:col>
      <xdr:colOff>419100</xdr:colOff>
      <xdr:row>78</xdr:row>
      <xdr:rowOff>76200</xdr:rowOff>
    </xdr:from>
    <xdr:to>
      <xdr:col>24</xdr:col>
      <xdr:colOff>514350</xdr:colOff>
      <xdr:row>88</xdr:row>
      <xdr:rowOff>95250</xdr:rowOff>
    </xdr:to>
    <xdr:graphicFrame macro="">
      <xdr:nvGraphicFramePr>
        <xdr:cNvPr id="17" name="Chart 57">
          <a:extLst>
            <a:ext uri="{FF2B5EF4-FFF2-40B4-BE49-F238E27FC236}">
              <a16:creationId xmlns:a16="http://schemas.microsoft.com/office/drawing/2014/main" id="{FB662B5B-DBE3-C04B-B2BE-E910D8DFA0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18</xdr:col>
      <xdr:colOff>171450</xdr:colOff>
      <xdr:row>89</xdr:row>
      <xdr:rowOff>47625</xdr:rowOff>
    </xdr:from>
    <xdr:to>
      <xdr:col>21</xdr:col>
      <xdr:colOff>390525</xdr:colOff>
      <xdr:row>99</xdr:row>
      <xdr:rowOff>66675</xdr:rowOff>
    </xdr:to>
    <xdr:graphicFrame macro="">
      <xdr:nvGraphicFramePr>
        <xdr:cNvPr id="18" name="Chart 58">
          <a:extLst>
            <a:ext uri="{FF2B5EF4-FFF2-40B4-BE49-F238E27FC236}">
              <a16:creationId xmlns:a16="http://schemas.microsoft.com/office/drawing/2014/main" id="{4452D7E3-585A-E94E-B1E9-C80BC3E53E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21</xdr:col>
      <xdr:colOff>438150</xdr:colOff>
      <xdr:row>89</xdr:row>
      <xdr:rowOff>47625</xdr:rowOff>
    </xdr:from>
    <xdr:to>
      <xdr:col>24</xdr:col>
      <xdr:colOff>533400</xdr:colOff>
      <xdr:row>99</xdr:row>
      <xdr:rowOff>66675</xdr:rowOff>
    </xdr:to>
    <xdr:graphicFrame macro="">
      <xdr:nvGraphicFramePr>
        <xdr:cNvPr id="19" name="Chart 59">
          <a:extLst>
            <a:ext uri="{FF2B5EF4-FFF2-40B4-BE49-F238E27FC236}">
              <a16:creationId xmlns:a16="http://schemas.microsoft.com/office/drawing/2014/main" id="{94204C68-D24D-1B48-BE85-2C965E3799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18</xdr:col>
      <xdr:colOff>171450</xdr:colOff>
      <xdr:row>99</xdr:row>
      <xdr:rowOff>123825</xdr:rowOff>
    </xdr:from>
    <xdr:to>
      <xdr:col>21</xdr:col>
      <xdr:colOff>390525</xdr:colOff>
      <xdr:row>109</xdr:row>
      <xdr:rowOff>133350</xdr:rowOff>
    </xdr:to>
    <xdr:graphicFrame macro="">
      <xdr:nvGraphicFramePr>
        <xdr:cNvPr id="20" name="Chart 60">
          <a:extLst>
            <a:ext uri="{FF2B5EF4-FFF2-40B4-BE49-F238E27FC236}">
              <a16:creationId xmlns:a16="http://schemas.microsoft.com/office/drawing/2014/main" id="{73CC5CBA-2687-2647-BD9B-9F5B756247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21</xdr:col>
      <xdr:colOff>438150</xdr:colOff>
      <xdr:row>99</xdr:row>
      <xdr:rowOff>123825</xdr:rowOff>
    </xdr:from>
    <xdr:to>
      <xdr:col>24</xdr:col>
      <xdr:colOff>533400</xdr:colOff>
      <xdr:row>109</xdr:row>
      <xdr:rowOff>133350</xdr:rowOff>
    </xdr:to>
    <xdr:graphicFrame macro="">
      <xdr:nvGraphicFramePr>
        <xdr:cNvPr id="21" name="Chart 61">
          <a:extLst>
            <a:ext uri="{FF2B5EF4-FFF2-40B4-BE49-F238E27FC236}">
              <a16:creationId xmlns:a16="http://schemas.microsoft.com/office/drawing/2014/main" id="{77F40143-8944-2642-9E1E-5D5967E087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68F72-87CB-784D-AB49-24B6C188FE6B}">
  <dimension ref="A1:AR155"/>
  <sheetViews>
    <sheetView topLeftCell="A90" zoomScale="90" zoomScaleNormal="75" workbookViewId="0">
      <selection activeCell="B1" sqref="B1"/>
    </sheetView>
  </sheetViews>
  <sheetFormatPr baseColWidth="10" defaultColWidth="8.83203125" defaultRowHeight="13" x14ac:dyDescent="0.15"/>
  <cols>
    <col min="1" max="1" width="4.33203125" style="4" customWidth="1"/>
    <col min="2" max="2" width="7.1640625" style="4" customWidth="1"/>
    <col min="3" max="3" width="25.83203125" style="4" customWidth="1"/>
    <col min="4" max="5" width="10.5" style="4" bestFit="1" customWidth="1"/>
    <col min="6" max="7" width="8.83203125" style="4"/>
    <col min="8" max="8" width="11.33203125" style="4" bestFit="1" customWidth="1"/>
    <col min="9" max="9" width="9.5" style="4" customWidth="1"/>
    <col min="10" max="10" width="10.6640625" style="4" customWidth="1"/>
    <col min="11" max="11" width="19.1640625" style="4" customWidth="1"/>
    <col min="12" max="18" width="8.83203125" style="4"/>
    <col min="19" max="20" width="2.5" style="4" customWidth="1"/>
    <col min="21" max="21" width="21.5" style="4" customWidth="1"/>
    <col min="22" max="28" width="8.83203125" style="4"/>
    <col min="29" max="29" width="23.33203125" style="4" customWidth="1"/>
    <col min="30" max="30" width="11.6640625" style="4" bestFit="1" customWidth="1"/>
    <col min="31" max="31" width="8.33203125" style="4" customWidth="1"/>
    <col min="32" max="35" width="8.83203125" style="4"/>
    <col min="36" max="36" width="8.5" style="4" customWidth="1"/>
    <col min="37" max="16384" width="8.83203125" style="4"/>
  </cols>
  <sheetData>
    <row r="1" spans="2:7" s="2" customFormat="1" ht="14" x14ac:dyDescent="0.15">
      <c r="B1" s="1" t="s">
        <v>2</v>
      </c>
    </row>
    <row r="2" spans="2:7" x14ac:dyDescent="0.15">
      <c r="B2" s="3" t="s">
        <v>3</v>
      </c>
    </row>
    <row r="3" spans="2:7" x14ac:dyDescent="0.15">
      <c r="B3" s="3" t="s">
        <v>4</v>
      </c>
      <c r="D3" s="4">
        <v>2015</v>
      </c>
      <c r="E3" s="4">
        <v>2012</v>
      </c>
      <c r="F3" s="4">
        <v>2010</v>
      </c>
      <c r="G3" s="4">
        <v>2009</v>
      </c>
    </row>
    <row r="4" spans="2:7" ht="7.75" customHeight="1" x14ac:dyDescent="0.15">
      <c r="B4" s="3"/>
    </row>
    <row r="5" spans="2:7" x14ac:dyDescent="0.15">
      <c r="B5" s="4" t="s">
        <v>5</v>
      </c>
    </row>
    <row r="6" spans="2:7" x14ac:dyDescent="0.15">
      <c r="B6" s="4" t="s">
        <v>6</v>
      </c>
    </row>
    <row r="7" spans="2:7" x14ac:dyDescent="0.15">
      <c r="B7" s="4" t="s">
        <v>7</v>
      </c>
    </row>
    <row r="8" spans="2:7" x14ac:dyDescent="0.15">
      <c r="B8" s="4" t="s">
        <v>8</v>
      </c>
    </row>
    <row r="9" spans="2:7" x14ac:dyDescent="0.15">
      <c r="B9" s="4" t="s">
        <v>9</v>
      </c>
    </row>
    <row r="10" spans="2:7" x14ac:dyDescent="0.15">
      <c r="B10" s="4" t="s">
        <v>10</v>
      </c>
    </row>
    <row r="11" spans="2:7" x14ac:dyDescent="0.15">
      <c r="B11" s="4" t="s">
        <v>11</v>
      </c>
    </row>
    <row r="12" spans="2:7" x14ac:dyDescent="0.15">
      <c r="B12" s="3" t="s">
        <v>12</v>
      </c>
    </row>
    <row r="13" spans="2:7" x14ac:dyDescent="0.15">
      <c r="B13" s="3" t="s">
        <v>13</v>
      </c>
    </row>
    <row r="14" spans="2:7" x14ac:dyDescent="0.15">
      <c r="B14" s="3" t="s">
        <v>14</v>
      </c>
    </row>
    <row r="15" spans="2:7" x14ac:dyDescent="0.15">
      <c r="B15" s="3" t="s">
        <v>15</v>
      </c>
    </row>
    <row r="16" spans="2:7" x14ac:dyDescent="0.15">
      <c r="B16" s="3" t="s">
        <v>16</v>
      </c>
    </row>
    <row r="17" spans="1:36" x14ac:dyDescent="0.15">
      <c r="B17" s="4" t="s">
        <v>17</v>
      </c>
      <c r="M17" s="5" t="s">
        <v>18</v>
      </c>
      <c r="W17" s="5" t="s">
        <v>19</v>
      </c>
    </row>
    <row r="18" spans="1:36" x14ac:dyDescent="0.15">
      <c r="B18" s="4" t="s">
        <v>20</v>
      </c>
      <c r="M18" s="6" t="s">
        <v>21</v>
      </c>
      <c r="W18" s="6" t="s">
        <v>22</v>
      </c>
    </row>
    <row r="19" spans="1:36" x14ac:dyDescent="0.15">
      <c r="B19" s="4" t="s">
        <v>23</v>
      </c>
      <c r="M19" s="6" t="s">
        <v>24</v>
      </c>
      <c r="W19" s="6" t="s">
        <v>25</v>
      </c>
    </row>
    <row r="20" spans="1:36" x14ac:dyDescent="0.15">
      <c r="B20" s="4" t="s">
        <v>26</v>
      </c>
      <c r="M20" s="6" t="s">
        <v>27</v>
      </c>
      <c r="W20" s="6" t="s">
        <v>28</v>
      </c>
    </row>
    <row r="21" spans="1:36" x14ac:dyDescent="0.15">
      <c r="B21" s="3" t="s">
        <v>29</v>
      </c>
    </row>
    <row r="22" spans="1:36" x14ac:dyDescent="0.15">
      <c r="B22" s="3" t="s">
        <v>30</v>
      </c>
      <c r="M22" s="4" t="s">
        <v>31</v>
      </c>
      <c r="W22" s="4" t="s">
        <v>32</v>
      </c>
      <c r="AD22" s="4" t="s">
        <v>31</v>
      </c>
    </row>
    <row r="23" spans="1:36" x14ac:dyDescent="0.15">
      <c r="B23" s="4" t="s">
        <v>33</v>
      </c>
      <c r="M23" s="6" t="s">
        <v>34</v>
      </c>
      <c r="W23" s="6" t="s">
        <v>35</v>
      </c>
      <c r="AD23" s="6" t="s">
        <v>34</v>
      </c>
    </row>
    <row r="24" spans="1:36" x14ac:dyDescent="0.15">
      <c r="M24" s="6" t="s">
        <v>36</v>
      </c>
      <c r="W24" s="6" t="s">
        <v>36</v>
      </c>
      <c r="AD24" s="6" t="s">
        <v>36</v>
      </c>
    </row>
    <row r="25" spans="1:36" ht="7.5" customHeight="1" x14ac:dyDescent="0.15">
      <c r="A25" s="7"/>
      <c r="B25" s="7"/>
      <c r="C25" s="7"/>
      <c r="D25" s="7"/>
      <c r="E25" s="7"/>
      <c r="F25" s="7"/>
      <c r="G25" s="7"/>
      <c r="H25" s="7"/>
      <c r="I25" s="7"/>
      <c r="J25" s="8"/>
      <c r="K25" s="7"/>
      <c r="L25" s="7"/>
      <c r="M25" s="7"/>
      <c r="N25" s="7"/>
      <c r="O25" s="7"/>
      <c r="P25" s="7"/>
      <c r="Q25" s="7"/>
      <c r="R25" s="7"/>
      <c r="S25" s="9"/>
      <c r="T25" s="9"/>
      <c r="U25" s="9"/>
      <c r="V25" s="9"/>
      <c r="W25" s="9"/>
      <c r="X25" s="9"/>
      <c r="Y25" s="9"/>
      <c r="Z25" s="9"/>
      <c r="AA25" s="9"/>
      <c r="AB25" s="9"/>
      <c r="AC25" s="9"/>
      <c r="AD25" s="9"/>
      <c r="AE25" s="9"/>
      <c r="AF25" s="9"/>
      <c r="AG25" s="9"/>
      <c r="AH25" s="9"/>
      <c r="AI25" s="9"/>
      <c r="AJ25" s="9"/>
    </row>
    <row r="26" spans="1:36" ht="13.75" customHeight="1" x14ac:dyDescent="0.15">
      <c r="A26" s="7"/>
      <c r="B26" s="10"/>
      <c r="C26" s="11" t="s">
        <v>37</v>
      </c>
      <c r="D26" s="12">
        <v>0.2</v>
      </c>
      <c r="E26" s="7"/>
      <c r="F26" s="7"/>
      <c r="G26" s="7"/>
      <c r="H26" s="7"/>
      <c r="I26" s="7"/>
      <c r="J26" s="8"/>
      <c r="K26" s="7"/>
      <c r="L26" s="7"/>
      <c r="M26" s="7"/>
      <c r="N26" s="7"/>
      <c r="O26" s="7"/>
      <c r="P26" s="7"/>
      <c r="Q26" s="7"/>
      <c r="R26" s="7"/>
      <c r="S26" s="9"/>
      <c r="T26" s="9"/>
      <c r="U26" s="9"/>
      <c r="V26" s="9"/>
      <c r="W26" s="9"/>
      <c r="X26" s="9"/>
      <c r="Y26" s="9"/>
      <c r="Z26" s="9"/>
      <c r="AA26" s="9"/>
      <c r="AB26" s="9"/>
      <c r="AC26" s="9"/>
      <c r="AD26" s="9"/>
      <c r="AE26" s="9"/>
      <c r="AF26" s="9"/>
      <c r="AG26" s="9"/>
      <c r="AH26" s="9"/>
      <c r="AI26" s="9"/>
      <c r="AJ26" s="9"/>
    </row>
    <row r="27" spans="1:36" ht="14" x14ac:dyDescent="0.15">
      <c r="A27" s="7"/>
      <c r="B27" s="10"/>
      <c r="C27" s="11" t="s">
        <v>38</v>
      </c>
      <c r="D27" s="12">
        <v>95</v>
      </c>
      <c r="E27" s="7"/>
      <c r="F27" s="7"/>
      <c r="G27" s="13" t="s">
        <v>39</v>
      </c>
      <c r="H27" s="14" t="s">
        <v>40</v>
      </c>
      <c r="I27" s="15" t="s">
        <v>41</v>
      </c>
      <c r="J27" s="7"/>
      <c r="K27" s="7"/>
      <c r="L27" s="7"/>
      <c r="M27" s="13" t="s">
        <v>39</v>
      </c>
      <c r="N27" s="16" t="s">
        <v>42</v>
      </c>
      <c r="O27" s="14" t="s">
        <v>40</v>
      </c>
      <c r="P27" s="15" t="s">
        <v>41</v>
      </c>
      <c r="Q27" s="17" t="s">
        <v>43</v>
      </c>
      <c r="R27" s="7"/>
      <c r="S27" s="9"/>
      <c r="T27" s="9"/>
      <c r="U27" s="9"/>
      <c r="V27" s="9"/>
      <c r="W27" s="9"/>
      <c r="X27" s="18" t="s">
        <v>39</v>
      </c>
      <c r="Y27" s="19" t="s">
        <v>42</v>
      </c>
      <c r="Z27" s="20" t="s">
        <v>40</v>
      </c>
      <c r="AA27" s="21" t="s">
        <v>41</v>
      </c>
      <c r="AB27" s="22" t="s">
        <v>43</v>
      </c>
      <c r="AC27" s="9"/>
      <c r="AD27" s="9"/>
      <c r="AE27" s="18" t="s">
        <v>39</v>
      </c>
      <c r="AF27" s="19" t="s">
        <v>42</v>
      </c>
      <c r="AG27" s="20" t="s">
        <v>40</v>
      </c>
      <c r="AH27" s="21" t="s">
        <v>41</v>
      </c>
      <c r="AI27" s="22" t="s">
        <v>43</v>
      </c>
      <c r="AJ27" s="22"/>
    </row>
    <row r="28" spans="1:36" s="34" customFormat="1" ht="14" x14ac:dyDescent="0.15">
      <c r="A28" s="23"/>
      <c r="B28" s="23"/>
      <c r="C28" s="24" t="s">
        <v>44</v>
      </c>
      <c r="D28" s="25"/>
      <c r="E28" s="24"/>
      <c r="F28" s="24"/>
      <c r="G28" s="24"/>
      <c r="H28" s="24"/>
      <c r="I28" s="24"/>
      <c r="J28" s="26"/>
      <c r="K28" s="23"/>
      <c r="L28" s="27" t="s">
        <v>45</v>
      </c>
      <c r="M28" s="27"/>
      <c r="N28" s="27"/>
      <c r="O28" s="27"/>
      <c r="P28" s="27"/>
      <c r="Q28" s="17" t="s">
        <v>46</v>
      </c>
      <c r="R28" s="28" t="s">
        <v>47</v>
      </c>
      <c r="S28" s="29"/>
      <c r="T28" s="30"/>
      <c r="U28" s="9"/>
      <c r="V28" s="31" t="s">
        <v>48</v>
      </c>
      <c r="W28" s="32"/>
      <c r="X28" s="32"/>
      <c r="Y28" s="32"/>
      <c r="Z28" s="32"/>
      <c r="AA28" s="32"/>
      <c r="AB28" s="22" t="s">
        <v>46</v>
      </c>
      <c r="AC28" s="30"/>
      <c r="AD28" s="32" t="s">
        <v>49</v>
      </c>
      <c r="AE28" s="32"/>
      <c r="AF28" s="32"/>
      <c r="AG28" s="32"/>
      <c r="AH28" s="32"/>
      <c r="AI28" s="22" t="s">
        <v>46</v>
      </c>
      <c r="AJ28" s="33" t="s">
        <v>47</v>
      </c>
    </row>
    <row r="29" spans="1:36" s="44" customFormat="1" ht="14" x14ac:dyDescent="0.15">
      <c r="A29" s="35"/>
      <c r="B29" s="35"/>
      <c r="C29" s="36" t="s">
        <v>50</v>
      </c>
      <c r="D29" s="37">
        <v>1</v>
      </c>
      <c r="E29" s="37">
        <v>2</v>
      </c>
      <c r="F29" s="37">
        <v>3</v>
      </c>
      <c r="G29" s="37">
        <v>4</v>
      </c>
      <c r="H29" s="37">
        <v>5</v>
      </c>
      <c r="I29" s="37">
        <v>6</v>
      </c>
      <c r="J29" s="38" t="s">
        <v>51</v>
      </c>
      <c r="K29" s="35"/>
      <c r="L29" s="39" t="str">
        <f>E29&amp;"-"&amp;D29</f>
        <v>2-1</v>
      </c>
      <c r="M29" s="39" t="str">
        <f>F29&amp;"-"&amp;E29</f>
        <v>3-2</v>
      </c>
      <c r="N29" s="39" t="str">
        <f>G29&amp;"-"&amp;F29</f>
        <v>4-3</v>
      </c>
      <c r="O29" s="39" t="str">
        <f>H29&amp;"-"&amp;G29</f>
        <v>5-4</v>
      </c>
      <c r="P29" s="39" t="str">
        <f>I29&amp;"-"&amp;H29</f>
        <v>6-5</v>
      </c>
      <c r="Q29" s="17" t="s">
        <v>52</v>
      </c>
      <c r="R29" s="28" t="s">
        <v>53</v>
      </c>
      <c r="S29" s="29"/>
      <c r="T29" s="40"/>
      <c r="U29" s="40"/>
      <c r="V29" s="41">
        <f t="shared" ref="V29:AA29" si="0">D29</f>
        <v>1</v>
      </c>
      <c r="W29" s="41">
        <f t="shared" si="0"/>
        <v>2</v>
      </c>
      <c r="X29" s="41">
        <f t="shared" si="0"/>
        <v>3</v>
      </c>
      <c r="Y29" s="41">
        <f t="shared" si="0"/>
        <v>4</v>
      </c>
      <c r="Z29" s="41">
        <f t="shared" si="0"/>
        <v>5</v>
      </c>
      <c r="AA29" s="41">
        <f t="shared" si="0"/>
        <v>6</v>
      </c>
      <c r="AB29" s="22" t="s">
        <v>52</v>
      </c>
      <c r="AC29" s="42"/>
      <c r="AD29" s="41" t="str">
        <f>L29</f>
        <v>2-1</v>
      </c>
      <c r="AE29" s="41" t="str">
        <f>M29</f>
        <v>3-2</v>
      </c>
      <c r="AF29" s="41" t="str">
        <f>N29</f>
        <v>4-3</v>
      </c>
      <c r="AG29" s="41" t="str">
        <f>O29</f>
        <v>5-4</v>
      </c>
      <c r="AH29" s="41" t="str">
        <f>P29</f>
        <v>6-5</v>
      </c>
      <c r="AI29" s="22" t="s">
        <v>52</v>
      </c>
      <c r="AJ29" s="43" t="s">
        <v>53</v>
      </c>
    </row>
    <row r="30" spans="1:36" s="44" customFormat="1" ht="15" x14ac:dyDescent="0.15">
      <c r="A30" s="35"/>
      <c r="B30" s="35"/>
      <c r="C30" s="252">
        <v>1</v>
      </c>
      <c r="D30" s="250">
        <v>146.347921875</v>
      </c>
      <c r="E30" s="250">
        <v>156.67284375</v>
      </c>
      <c r="F30" s="37"/>
      <c r="G30" s="253"/>
      <c r="H30" s="253"/>
      <c r="I30" s="253"/>
      <c r="J30" s="254"/>
      <c r="K30" s="35"/>
      <c r="L30" s="96"/>
      <c r="M30" s="96"/>
      <c r="N30" s="96"/>
      <c r="O30" s="96"/>
      <c r="P30" s="96"/>
      <c r="Q30" s="17"/>
      <c r="R30" s="28"/>
      <c r="S30" s="29"/>
      <c r="T30" s="40"/>
      <c r="U30" s="40"/>
      <c r="V30" s="42"/>
      <c r="W30" s="42"/>
      <c r="X30" s="42"/>
      <c r="Y30" s="42"/>
      <c r="Z30" s="42"/>
      <c r="AA30" s="42"/>
      <c r="AB30" s="22"/>
      <c r="AC30" s="42"/>
      <c r="AD30" s="42"/>
      <c r="AE30" s="42"/>
      <c r="AF30" s="42"/>
      <c r="AG30" s="42"/>
      <c r="AH30" s="42"/>
      <c r="AI30" s="22"/>
      <c r="AJ30" s="43"/>
    </row>
    <row r="31" spans="1:36" s="44" customFormat="1" ht="15" x14ac:dyDescent="0.15">
      <c r="A31" s="35"/>
      <c r="B31" s="35"/>
      <c r="C31" s="252">
        <v>2</v>
      </c>
      <c r="D31" s="250">
        <v>190.74137500000001</v>
      </c>
      <c r="E31" s="250">
        <v>196.91535937500001</v>
      </c>
      <c r="F31" s="37"/>
      <c r="G31" s="253"/>
      <c r="H31" s="253"/>
      <c r="I31" s="253"/>
      <c r="J31" s="254"/>
      <c r="K31" s="35"/>
      <c r="L31" s="96"/>
      <c r="M31" s="96"/>
      <c r="N31" s="96"/>
      <c r="O31" s="96"/>
      <c r="P31" s="96"/>
      <c r="Q31" s="17"/>
      <c r="R31" s="28"/>
      <c r="S31" s="29"/>
      <c r="T31" s="40"/>
      <c r="U31" s="40"/>
      <c r="V31" s="42"/>
      <c r="W31" s="42"/>
      <c r="X31" s="42"/>
      <c r="Y31" s="42"/>
      <c r="Z31" s="42"/>
      <c r="AA31" s="42"/>
      <c r="AB31" s="22"/>
      <c r="AC31" s="42"/>
      <c r="AD31" s="42"/>
      <c r="AE31" s="42"/>
      <c r="AF31" s="42"/>
      <c r="AG31" s="42"/>
      <c r="AH31" s="42"/>
      <c r="AI31" s="22"/>
      <c r="AJ31" s="43"/>
    </row>
    <row r="32" spans="1:36" s="44" customFormat="1" ht="15" x14ac:dyDescent="0.15">
      <c r="A32" s="35"/>
      <c r="B32" s="35"/>
      <c r="C32" s="252">
        <v>3</v>
      </c>
      <c r="D32" s="250">
        <v>121.466199420758</v>
      </c>
      <c r="E32" s="250">
        <v>132.84687771709301</v>
      </c>
      <c r="F32" s="37"/>
      <c r="G32" s="253"/>
      <c r="H32" s="253"/>
      <c r="I32" s="253"/>
      <c r="J32" s="254"/>
      <c r="K32" s="35"/>
      <c r="L32" s="96"/>
      <c r="M32" s="96"/>
      <c r="N32" s="96"/>
      <c r="O32" s="96"/>
      <c r="P32" s="96"/>
      <c r="Q32" s="17"/>
      <c r="R32" s="28"/>
      <c r="S32" s="29"/>
      <c r="T32" s="40"/>
      <c r="U32" s="40"/>
      <c r="V32" s="42"/>
      <c r="W32" s="42"/>
      <c r="X32" s="42"/>
      <c r="Y32" s="42"/>
      <c r="Z32" s="42"/>
      <c r="AA32" s="42"/>
      <c r="AB32" s="22"/>
      <c r="AC32" s="42"/>
      <c r="AD32" s="42"/>
      <c r="AE32" s="42"/>
      <c r="AF32" s="42"/>
      <c r="AG32" s="42"/>
      <c r="AH32" s="42"/>
      <c r="AI32" s="22"/>
      <c r="AJ32" s="43"/>
    </row>
    <row r="33" spans="1:37" s="44" customFormat="1" ht="15" x14ac:dyDescent="0.15">
      <c r="A33" s="35"/>
      <c r="B33" s="35"/>
      <c r="C33" s="252">
        <v>4</v>
      </c>
      <c r="D33" s="250">
        <v>207.755734375</v>
      </c>
      <c r="E33" s="250">
        <v>214.879609375</v>
      </c>
      <c r="F33" s="37"/>
      <c r="G33" s="253"/>
      <c r="H33" s="253"/>
      <c r="I33" s="253"/>
      <c r="J33" s="254"/>
      <c r="K33" s="35"/>
      <c r="L33" s="96"/>
      <c r="M33" s="96"/>
      <c r="N33" s="96"/>
      <c r="O33" s="96"/>
      <c r="P33" s="96"/>
      <c r="Q33" s="17"/>
      <c r="R33" s="28"/>
      <c r="S33" s="29"/>
      <c r="T33" s="40"/>
      <c r="U33" s="40"/>
      <c r="V33" s="42"/>
      <c r="W33" s="42"/>
      <c r="X33" s="42"/>
      <c r="Y33" s="42"/>
      <c r="Z33" s="42"/>
      <c r="AA33" s="42"/>
      <c r="AB33" s="22"/>
      <c r="AC33" s="42"/>
      <c r="AD33" s="42"/>
      <c r="AE33" s="42"/>
      <c r="AF33" s="42"/>
      <c r="AG33" s="42"/>
      <c r="AH33" s="42"/>
      <c r="AI33" s="22"/>
      <c r="AJ33" s="43"/>
    </row>
    <row r="34" spans="1:37" s="44" customFormat="1" ht="15" x14ac:dyDescent="0.2">
      <c r="A34" s="35"/>
      <c r="B34" s="35"/>
      <c r="C34" s="252">
        <v>5</v>
      </c>
      <c r="D34" s="251">
        <v>154.75928124999999</v>
      </c>
      <c r="E34" s="251">
        <v>155.21265625000001</v>
      </c>
      <c r="F34" s="37"/>
      <c r="G34" s="253"/>
      <c r="H34" s="253"/>
      <c r="I34" s="253"/>
      <c r="J34" s="254"/>
      <c r="K34" s="35"/>
      <c r="L34" s="96"/>
      <c r="M34" s="96"/>
      <c r="N34" s="96"/>
      <c r="O34" s="96"/>
      <c r="P34" s="96"/>
      <c r="Q34" s="17"/>
      <c r="R34" s="28"/>
      <c r="S34" s="29"/>
      <c r="T34" s="40"/>
      <c r="U34" s="40"/>
      <c r="V34" s="42"/>
      <c r="W34" s="42"/>
      <c r="X34" s="42"/>
      <c r="Y34" s="42"/>
      <c r="Z34" s="42"/>
      <c r="AA34" s="42"/>
      <c r="AB34" s="22"/>
      <c r="AC34" s="42"/>
      <c r="AD34" s="42"/>
      <c r="AE34" s="42"/>
      <c r="AF34" s="42"/>
      <c r="AG34" s="42"/>
      <c r="AH34" s="42"/>
      <c r="AI34" s="22"/>
      <c r="AJ34" s="43"/>
    </row>
    <row r="35" spans="1:37" ht="16" x14ac:dyDescent="0.15">
      <c r="A35" s="7"/>
      <c r="B35" s="7"/>
      <c r="C35" s="245">
        <v>6</v>
      </c>
      <c r="D35" s="250">
        <v>171.42815625</v>
      </c>
      <c r="E35" s="250">
        <v>189.3599375</v>
      </c>
      <c r="F35" s="247"/>
      <c r="G35" s="45"/>
      <c r="J35" s="46"/>
      <c r="K35" s="7"/>
      <c r="L35" s="17">
        <f t="shared" ref="L35:P50" si="1">IF(AND(ISNUMBER(E35),ISNUMBER(D35)),(E35-D35),"delete")</f>
        <v>17.93178125</v>
      </c>
      <c r="M35" s="17" t="str">
        <f t="shared" si="1"/>
        <v>delete</v>
      </c>
      <c r="N35" s="17"/>
      <c r="O35" s="17"/>
      <c r="P35" s="17"/>
      <c r="Q35" s="7"/>
      <c r="R35" s="47">
        <f t="shared" ref="R35:R43" si="2">IF(SUMPRODUCT(D35:I35,D35:I35,$D$53:$I$53)&gt;0,1,0)</f>
        <v>1</v>
      </c>
      <c r="S35" s="48"/>
      <c r="T35" s="9"/>
      <c r="U35" s="18" t="s">
        <v>54</v>
      </c>
      <c r="V35" s="49">
        <f t="shared" ref="V35:AA50" si="3">100*LN(D35)</f>
        <v>514.41642648428456</v>
      </c>
      <c r="W35" s="49">
        <f t="shared" si="3"/>
        <v>524.3649635146528</v>
      </c>
      <c r="X35" s="49"/>
      <c r="Y35" s="49"/>
      <c r="Z35" s="49"/>
      <c r="AA35" s="49"/>
      <c r="AB35" s="22"/>
      <c r="AC35" s="22"/>
      <c r="AD35" s="22">
        <f t="shared" ref="AD35:AH50" si="4">IF(AND(ISNUMBER(W35),ISNUMBER(V35)),(W35-V35),"delete")</f>
        <v>9.948537030368243</v>
      </c>
      <c r="AE35" s="22"/>
      <c r="AF35" s="22"/>
      <c r="AG35" s="22"/>
      <c r="AH35" s="22"/>
      <c r="AI35" s="9"/>
      <c r="AJ35" s="43">
        <f t="shared" ref="AJ35:AJ43" si="5">IF(SUMPRODUCT(V35:AA35,V35:AA35,$V$53:$AA$53)&gt;0,1,0)</f>
        <v>0</v>
      </c>
      <c r="AK35" s="50"/>
    </row>
    <row r="36" spans="1:37" ht="16" x14ac:dyDescent="0.2">
      <c r="A36" s="7"/>
      <c r="B36" s="7"/>
      <c r="C36" s="245">
        <v>7</v>
      </c>
      <c r="D36" s="251">
        <v>177.86785937499999</v>
      </c>
      <c r="E36" s="251">
        <v>184.07314062500001</v>
      </c>
      <c r="F36" s="247"/>
      <c r="G36" s="45"/>
      <c r="J36" s="46"/>
      <c r="K36" s="7"/>
      <c r="L36" s="17">
        <f t="shared" si="1"/>
        <v>6.205281250000013</v>
      </c>
      <c r="M36" s="17" t="str">
        <f t="shared" si="1"/>
        <v>delete</v>
      </c>
      <c r="N36" s="17"/>
      <c r="O36" s="17"/>
      <c r="P36" s="17"/>
      <c r="Q36" s="7"/>
      <c r="R36" s="47">
        <f t="shared" si="2"/>
        <v>1</v>
      </c>
      <c r="S36" s="48"/>
      <c r="T36" s="9"/>
      <c r="U36" s="18" t="s">
        <v>55</v>
      </c>
      <c r="V36" s="49">
        <f t="shared" si="3"/>
        <v>518.10409115423806</v>
      </c>
      <c r="W36" s="49">
        <f t="shared" si="3"/>
        <v>521.53331820221797</v>
      </c>
      <c r="X36" s="49"/>
      <c r="Y36" s="49"/>
      <c r="Z36" s="49"/>
      <c r="AA36" s="49"/>
      <c r="AB36" s="22"/>
      <c r="AC36" s="22"/>
      <c r="AD36" s="22">
        <f t="shared" si="4"/>
        <v>3.4292270479799072</v>
      </c>
      <c r="AE36" s="22"/>
      <c r="AF36" s="22"/>
      <c r="AG36" s="22"/>
      <c r="AH36" s="22"/>
      <c r="AI36" s="9"/>
      <c r="AJ36" s="43">
        <f t="shared" si="5"/>
        <v>0</v>
      </c>
      <c r="AK36" s="50"/>
    </row>
    <row r="37" spans="1:37" ht="16" x14ac:dyDescent="0.2">
      <c r="A37" s="7"/>
      <c r="B37" s="7"/>
      <c r="C37" s="245">
        <v>8</v>
      </c>
      <c r="D37" s="251">
        <v>187.46003124999999</v>
      </c>
      <c r="E37" s="251">
        <v>191.12998437499999</v>
      </c>
      <c r="F37" s="248"/>
      <c r="G37" s="45"/>
      <c r="J37" s="46"/>
      <c r="K37" s="7"/>
      <c r="L37" s="17">
        <f t="shared" si="1"/>
        <v>3.6699531250000064</v>
      </c>
      <c r="M37" s="17" t="str">
        <f t="shared" si="1"/>
        <v>delete</v>
      </c>
      <c r="N37" s="17" t="str">
        <f t="shared" si="1"/>
        <v>delete</v>
      </c>
      <c r="O37" s="17" t="str">
        <f t="shared" si="1"/>
        <v>delete</v>
      </c>
      <c r="P37" s="17" t="str">
        <f t="shared" si="1"/>
        <v>delete</v>
      </c>
      <c r="Q37" s="7"/>
      <c r="R37" s="47">
        <f t="shared" si="2"/>
        <v>1</v>
      </c>
      <c r="S37" s="48"/>
      <c r="T37" s="9"/>
      <c r="U37" s="18" t="s">
        <v>56</v>
      </c>
      <c r="V37" s="49">
        <f t="shared" si="3"/>
        <v>523.35656560205553</v>
      </c>
      <c r="W37" s="49">
        <f t="shared" si="3"/>
        <v>525.29537430458618</v>
      </c>
      <c r="X37" s="49" t="e">
        <f t="shared" si="3"/>
        <v>#NUM!</v>
      </c>
      <c r="Y37" s="49" t="e">
        <f t="shared" si="3"/>
        <v>#NUM!</v>
      </c>
      <c r="Z37" s="49" t="e">
        <f t="shared" si="3"/>
        <v>#NUM!</v>
      </c>
      <c r="AA37" s="49" t="e">
        <f t="shared" si="3"/>
        <v>#NUM!</v>
      </c>
      <c r="AB37" s="22"/>
      <c r="AC37" s="22"/>
      <c r="AD37" s="22">
        <f t="shared" si="4"/>
        <v>1.9388087025306504</v>
      </c>
      <c r="AE37" s="22" t="str">
        <f t="shared" si="4"/>
        <v>delete</v>
      </c>
      <c r="AF37" s="22" t="str">
        <f t="shared" si="4"/>
        <v>delete</v>
      </c>
      <c r="AG37" s="22" t="str">
        <f t="shared" si="4"/>
        <v>delete</v>
      </c>
      <c r="AH37" s="22" t="str">
        <f t="shared" si="4"/>
        <v>delete</v>
      </c>
      <c r="AI37" s="9"/>
      <c r="AJ37" s="43" t="e">
        <f t="shared" si="5"/>
        <v>#NUM!</v>
      </c>
      <c r="AK37" s="50"/>
    </row>
    <row r="38" spans="1:37" ht="16" x14ac:dyDescent="0.15">
      <c r="A38" s="7"/>
      <c r="B38" s="7"/>
      <c r="C38" s="245">
        <v>9</v>
      </c>
      <c r="D38" s="250">
        <v>167.57751562499999</v>
      </c>
      <c r="E38" s="250">
        <v>177.316109375</v>
      </c>
      <c r="F38" s="247"/>
      <c r="G38" s="45"/>
      <c r="J38" s="46"/>
      <c r="K38" s="7"/>
      <c r="L38" s="17">
        <f t="shared" si="1"/>
        <v>9.7385937500000068</v>
      </c>
      <c r="M38" s="17" t="str">
        <f t="shared" si="1"/>
        <v>delete</v>
      </c>
      <c r="N38" s="17" t="str">
        <f t="shared" si="1"/>
        <v>delete</v>
      </c>
      <c r="O38" s="17" t="str">
        <f t="shared" si="1"/>
        <v>delete</v>
      </c>
      <c r="P38" s="17" t="str">
        <f t="shared" si="1"/>
        <v>delete</v>
      </c>
      <c r="Q38" s="7"/>
      <c r="R38" s="47">
        <f t="shared" si="2"/>
        <v>1</v>
      </c>
      <c r="S38" s="48"/>
      <c r="T38" s="9"/>
      <c r="U38" s="18" t="s">
        <v>57</v>
      </c>
      <c r="V38" s="49">
        <f t="shared" si="3"/>
        <v>512.14460240662982</v>
      </c>
      <c r="W38" s="49">
        <f t="shared" si="3"/>
        <v>517.79340683717589</v>
      </c>
      <c r="X38" s="49" t="e">
        <f t="shared" si="3"/>
        <v>#NUM!</v>
      </c>
      <c r="Y38" s="49" t="e">
        <f t="shared" si="3"/>
        <v>#NUM!</v>
      </c>
      <c r="Z38" s="49" t="e">
        <f t="shared" si="3"/>
        <v>#NUM!</v>
      </c>
      <c r="AA38" s="49" t="e">
        <f t="shared" si="3"/>
        <v>#NUM!</v>
      </c>
      <c r="AB38" s="22"/>
      <c r="AC38" s="22"/>
      <c r="AD38" s="22">
        <f t="shared" si="4"/>
        <v>5.6488044305460789</v>
      </c>
      <c r="AE38" s="22" t="str">
        <f t="shared" si="4"/>
        <v>delete</v>
      </c>
      <c r="AF38" s="22" t="str">
        <f t="shared" si="4"/>
        <v>delete</v>
      </c>
      <c r="AG38" s="22" t="str">
        <f t="shared" si="4"/>
        <v>delete</v>
      </c>
      <c r="AH38" s="22" t="str">
        <f t="shared" si="4"/>
        <v>delete</v>
      </c>
      <c r="AI38" s="9"/>
      <c r="AJ38" s="43" t="e">
        <f t="shared" si="5"/>
        <v>#NUM!</v>
      </c>
      <c r="AK38" s="50"/>
    </row>
    <row r="39" spans="1:37" ht="16" x14ac:dyDescent="0.2">
      <c r="A39" s="7"/>
      <c r="B39" s="7"/>
      <c r="C39" s="245">
        <v>10</v>
      </c>
      <c r="D39" s="255">
        <v>162.42554687500001</v>
      </c>
      <c r="E39" s="255">
        <v>167.20521875</v>
      </c>
      <c r="F39" s="247"/>
      <c r="G39" s="45"/>
      <c r="J39" s="46"/>
      <c r="K39" s="7"/>
      <c r="L39" s="17">
        <f t="shared" si="1"/>
        <v>4.7796718749999911</v>
      </c>
      <c r="M39" s="17" t="str">
        <f t="shared" si="1"/>
        <v>delete</v>
      </c>
      <c r="N39" s="17" t="str">
        <f t="shared" si="1"/>
        <v>delete</v>
      </c>
      <c r="O39" s="17" t="str">
        <f t="shared" si="1"/>
        <v>delete</v>
      </c>
      <c r="P39" s="17" t="str">
        <f t="shared" si="1"/>
        <v>delete</v>
      </c>
      <c r="Q39" s="7"/>
      <c r="R39" s="47">
        <f t="shared" si="2"/>
        <v>1</v>
      </c>
      <c r="S39" s="48"/>
      <c r="T39" s="9"/>
      <c r="U39" s="18" t="s">
        <v>58</v>
      </c>
      <c r="V39" s="49">
        <f t="shared" si="3"/>
        <v>509.02197236995141</v>
      </c>
      <c r="W39" s="49">
        <f t="shared" si="3"/>
        <v>511.92219127831146</v>
      </c>
      <c r="X39" s="49" t="e">
        <f t="shared" si="3"/>
        <v>#NUM!</v>
      </c>
      <c r="Y39" s="49" t="e">
        <f t="shared" si="3"/>
        <v>#NUM!</v>
      </c>
      <c r="Z39" s="49" t="e">
        <f t="shared" si="3"/>
        <v>#NUM!</v>
      </c>
      <c r="AA39" s="49" t="e">
        <f t="shared" si="3"/>
        <v>#NUM!</v>
      </c>
      <c r="AB39" s="22"/>
      <c r="AC39" s="22"/>
      <c r="AD39" s="22">
        <f t="shared" si="4"/>
        <v>2.9002189083600456</v>
      </c>
      <c r="AE39" s="22" t="str">
        <f t="shared" si="4"/>
        <v>delete</v>
      </c>
      <c r="AF39" s="22" t="str">
        <f t="shared" si="4"/>
        <v>delete</v>
      </c>
      <c r="AG39" s="22" t="str">
        <f t="shared" si="4"/>
        <v>delete</v>
      </c>
      <c r="AH39" s="22" t="str">
        <f t="shared" si="4"/>
        <v>delete</v>
      </c>
      <c r="AI39" s="9"/>
      <c r="AJ39" s="43" t="e">
        <f t="shared" si="5"/>
        <v>#NUM!</v>
      </c>
      <c r="AK39" s="50"/>
    </row>
    <row r="40" spans="1:37" ht="16" x14ac:dyDescent="0.2">
      <c r="A40" s="7"/>
      <c r="B40" s="7"/>
      <c r="C40" s="245">
        <v>11</v>
      </c>
      <c r="D40" s="250">
        <v>175.33401562500001</v>
      </c>
      <c r="E40" s="250">
        <v>182.75125</v>
      </c>
      <c r="F40" s="248"/>
      <c r="G40" s="45"/>
      <c r="J40" s="46"/>
      <c r="K40" s="7"/>
      <c r="L40" s="17">
        <f t="shared" si="1"/>
        <v>7.4172343749999925</v>
      </c>
      <c r="M40" s="17" t="str">
        <f t="shared" si="1"/>
        <v>delete</v>
      </c>
      <c r="N40" s="17" t="str">
        <f t="shared" si="1"/>
        <v>delete</v>
      </c>
      <c r="O40" s="17" t="str">
        <f t="shared" si="1"/>
        <v>delete</v>
      </c>
      <c r="P40" s="17" t="str">
        <f t="shared" si="1"/>
        <v>delete</v>
      </c>
      <c r="Q40" s="7"/>
      <c r="R40" s="47">
        <f t="shared" si="2"/>
        <v>1</v>
      </c>
      <c r="S40" s="48"/>
      <c r="T40" s="9"/>
      <c r="U40" s="18" t="s">
        <v>59</v>
      </c>
      <c r="V40" s="49">
        <f t="shared" si="3"/>
        <v>516.66928154593666</v>
      </c>
      <c r="W40" s="49">
        <f t="shared" si="3"/>
        <v>520.81259385517762</v>
      </c>
      <c r="X40" s="49" t="e">
        <f t="shared" si="3"/>
        <v>#NUM!</v>
      </c>
      <c r="Y40" s="49" t="e">
        <f t="shared" si="3"/>
        <v>#NUM!</v>
      </c>
      <c r="Z40" s="49" t="e">
        <f t="shared" si="3"/>
        <v>#NUM!</v>
      </c>
      <c r="AA40" s="49" t="e">
        <f t="shared" si="3"/>
        <v>#NUM!</v>
      </c>
      <c r="AB40" s="22"/>
      <c r="AC40" s="22"/>
      <c r="AD40" s="22">
        <f t="shared" si="4"/>
        <v>4.1433123092409687</v>
      </c>
      <c r="AE40" s="22" t="str">
        <f t="shared" si="4"/>
        <v>delete</v>
      </c>
      <c r="AF40" s="22" t="str">
        <f t="shared" si="4"/>
        <v>delete</v>
      </c>
      <c r="AG40" s="22" t="str">
        <f t="shared" si="4"/>
        <v>delete</v>
      </c>
      <c r="AH40" s="22" t="str">
        <f t="shared" si="4"/>
        <v>delete</v>
      </c>
      <c r="AI40" s="9"/>
      <c r="AJ40" s="43" t="e">
        <f t="shared" si="5"/>
        <v>#NUM!</v>
      </c>
      <c r="AK40" s="50"/>
    </row>
    <row r="41" spans="1:37" ht="16" x14ac:dyDescent="0.15">
      <c r="A41" s="7"/>
      <c r="B41" s="7"/>
      <c r="C41" s="245">
        <v>12</v>
      </c>
      <c r="D41" s="250">
        <v>191.69645312500001</v>
      </c>
      <c r="E41" s="250">
        <v>203.11793750000001</v>
      </c>
      <c r="F41" s="247"/>
      <c r="G41" s="45"/>
      <c r="J41" s="46"/>
      <c r="K41" s="7"/>
      <c r="L41" s="17">
        <f t="shared" si="1"/>
        <v>11.421484375000006</v>
      </c>
      <c r="M41" s="17" t="str">
        <f t="shared" si="1"/>
        <v>delete</v>
      </c>
      <c r="N41" s="17" t="str">
        <f t="shared" si="1"/>
        <v>delete</v>
      </c>
      <c r="O41" s="17" t="str">
        <f t="shared" si="1"/>
        <v>delete</v>
      </c>
      <c r="P41" s="17" t="str">
        <f t="shared" si="1"/>
        <v>delete</v>
      </c>
      <c r="Q41" s="7"/>
      <c r="R41" s="47">
        <f t="shared" si="2"/>
        <v>1</v>
      </c>
      <c r="S41" s="48"/>
      <c r="T41" s="9"/>
      <c r="U41" s="18" t="s">
        <v>60</v>
      </c>
      <c r="V41" s="49">
        <f t="shared" si="3"/>
        <v>525.59131476634252</v>
      </c>
      <c r="W41" s="49">
        <f t="shared" si="3"/>
        <v>531.37867832487689</v>
      </c>
      <c r="X41" s="49" t="e">
        <f t="shared" si="3"/>
        <v>#NUM!</v>
      </c>
      <c r="Y41" s="49" t="e">
        <f t="shared" si="3"/>
        <v>#NUM!</v>
      </c>
      <c r="Z41" s="49" t="e">
        <f t="shared" si="3"/>
        <v>#NUM!</v>
      </c>
      <c r="AA41" s="49" t="e">
        <f t="shared" si="3"/>
        <v>#NUM!</v>
      </c>
      <c r="AB41" s="22"/>
      <c r="AC41" s="22"/>
      <c r="AD41" s="22">
        <f t="shared" si="4"/>
        <v>5.7873635585343663</v>
      </c>
      <c r="AE41" s="22" t="str">
        <f t="shared" si="4"/>
        <v>delete</v>
      </c>
      <c r="AF41" s="22" t="str">
        <f t="shared" si="4"/>
        <v>delete</v>
      </c>
      <c r="AG41" s="22" t="str">
        <f t="shared" si="4"/>
        <v>delete</v>
      </c>
      <c r="AH41" s="22" t="str">
        <f t="shared" si="4"/>
        <v>delete</v>
      </c>
      <c r="AI41" s="9"/>
      <c r="AJ41" s="43" t="e">
        <f t="shared" si="5"/>
        <v>#NUM!</v>
      </c>
      <c r="AK41" s="50"/>
    </row>
    <row r="42" spans="1:37" ht="16" x14ac:dyDescent="0.15">
      <c r="A42" s="7"/>
      <c r="B42" s="7"/>
      <c r="C42" s="245">
        <v>13</v>
      </c>
      <c r="D42" s="250">
        <v>125.563671875</v>
      </c>
      <c r="E42" s="250">
        <v>138.14206250000001</v>
      </c>
      <c r="F42" s="247"/>
      <c r="G42" s="45"/>
      <c r="J42" s="46"/>
      <c r="K42" s="7"/>
      <c r="L42" s="17">
        <f t="shared" si="1"/>
        <v>12.578390625000011</v>
      </c>
      <c r="M42" s="17" t="str">
        <f t="shared" si="1"/>
        <v>delete</v>
      </c>
      <c r="N42" s="17" t="str">
        <f t="shared" si="1"/>
        <v>delete</v>
      </c>
      <c r="O42" s="17" t="str">
        <f t="shared" si="1"/>
        <v>delete</v>
      </c>
      <c r="P42" s="17" t="str">
        <f t="shared" si="1"/>
        <v>delete</v>
      </c>
      <c r="Q42" s="7"/>
      <c r="R42" s="47">
        <f t="shared" si="2"/>
        <v>1</v>
      </c>
      <c r="S42" s="48"/>
      <c r="T42" s="9"/>
      <c r="U42" s="18" t="s">
        <v>61</v>
      </c>
      <c r="V42" s="49">
        <f t="shared" si="3"/>
        <v>483.2812975533094</v>
      </c>
      <c r="W42" s="49">
        <f t="shared" si="3"/>
        <v>492.8282594054653</v>
      </c>
      <c r="X42" s="49" t="e">
        <f t="shared" si="3"/>
        <v>#NUM!</v>
      </c>
      <c r="Y42" s="49" t="e">
        <f t="shared" si="3"/>
        <v>#NUM!</v>
      </c>
      <c r="Z42" s="49" t="e">
        <f t="shared" si="3"/>
        <v>#NUM!</v>
      </c>
      <c r="AA42" s="49" t="e">
        <f t="shared" si="3"/>
        <v>#NUM!</v>
      </c>
      <c r="AB42" s="22"/>
      <c r="AC42" s="22"/>
      <c r="AD42" s="22">
        <f t="shared" si="4"/>
        <v>9.5469618521559028</v>
      </c>
      <c r="AE42" s="22" t="str">
        <f t="shared" si="4"/>
        <v>delete</v>
      </c>
      <c r="AF42" s="22" t="str">
        <f t="shared" si="4"/>
        <v>delete</v>
      </c>
      <c r="AG42" s="22" t="str">
        <f t="shared" si="4"/>
        <v>delete</v>
      </c>
      <c r="AH42" s="22" t="str">
        <f t="shared" si="4"/>
        <v>delete</v>
      </c>
      <c r="AI42" s="9"/>
      <c r="AJ42" s="43" t="e">
        <f t="shared" si="5"/>
        <v>#NUM!</v>
      </c>
      <c r="AK42" s="50"/>
    </row>
    <row r="43" spans="1:37" ht="16" x14ac:dyDescent="0.15">
      <c r="A43" s="7"/>
      <c r="B43" s="7"/>
      <c r="C43" s="245">
        <v>14</v>
      </c>
      <c r="D43" s="250">
        <v>135.72606250000001</v>
      </c>
      <c r="E43" s="250">
        <v>140.883765625</v>
      </c>
      <c r="F43" s="247"/>
      <c r="G43" s="45"/>
      <c r="J43" s="46"/>
      <c r="K43" s="7"/>
      <c r="L43" s="17">
        <f t="shared" si="1"/>
        <v>5.1577031249999834</v>
      </c>
      <c r="M43" s="17" t="str">
        <f t="shared" si="1"/>
        <v>delete</v>
      </c>
      <c r="N43" s="17" t="str">
        <f t="shared" si="1"/>
        <v>delete</v>
      </c>
      <c r="O43" s="17" t="str">
        <f t="shared" si="1"/>
        <v>delete</v>
      </c>
      <c r="P43" s="17" t="str">
        <f t="shared" si="1"/>
        <v>delete</v>
      </c>
      <c r="Q43" s="7"/>
      <c r="R43" s="47">
        <f t="shared" si="2"/>
        <v>1</v>
      </c>
      <c r="S43" s="48"/>
      <c r="T43" s="9"/>
      <c r="U43" s="18" t="s">
        <v>62</v>
      </c>
      <c r="V43" s="49">
        <f t="shared" si="3"/>
        <v>491.06386080902161</v>
      </c>
      <c r="W43" s="49">
        <f t="shared" si="3"/>
        <v>494.79351931393609</v>
      </c>
      <c r="X43" s="49" t="e">
        <f t="shared" si="3"/>
        <v>#NUM!</v>
      </c>
      <c r="Y43" s="49" t="e">
        <f t="shared" si="3"/>
        <v>#NUM!</v>
      </c>
      <c r="Z43" s="49" t="e">
        <f t="shared" si="3"/>
        <v>#NUM!</v>
      </c>
      <c r="AA43" s="49" t="e">
        <f t="shared" si="3"/>
        <v>#NUM!</v>
      </c>
      <c r="AB43" s="22"/>
      <c r="AC43" s="22"/>
      <c r="AD43" s="22">
        <f t="shared" si="4"/>
        <v>3.7296585049144824</v>
      </c>
      <c r="AE43" s="22" t="str">
        <f t="shared" si="4"/>
        <v>delete</v>
      </c>
      <c r="AF43" s="22" t="str">
        <f t="shared" si="4"/>
        <v>delete</v>
      </c>
      <c r="AG43" s="22" t="str">
        <f t="shared" si="4"/>
        <v>delete</v>
      </c>
      <c r="AH43" s="22" t="str">
        <f t="shared" si="4"/>
        <v>delete</v>
      </c>
      <c r="AI43" s="9"/>
      <c r="AJ43" s="43" t="e">
        <f t="shared" si="5"/>
        <v>#NUM!</v>
      </c>
      <c r="AK43" s="50"/>
    </row>
    <row r="44" spans="1:37" ht="16" x14ac:dyDescent="0.2">
      <c r="A44" s="7"/>
      <c r="B44" s="7"/>
      <c r="C44" s="245">
        <v>15</v>
      </c>
      <c r="D44" s="251">
        <v>165.51362499999999</v>
      </c>
      <c r="E44" s="251">
        <v>171.60717187500001</v>
      </c>
      <c r="F44" s="247"/>
      <c r="G44" s="45"/>
      <c r="J44" s="46"/>
      <c r="K44" s="7"/>
      <c r="L44" s="17">
        <f t="shared" si="1"/>
        <v>6.0935468750000155</v>
      </c>
      <c r="M44" s="17" t="str">
        <f t="shared" si="1"/>
        <v>delete</v>
      </c>
      <c r="N44" s="17"/>
      <c r="O44" s="17"/>
      <c r="P44" s="17"/>
      <c r="Q44" s="7"/>
      <c r="R44" s="47"/>
      <c r="S44" s="48"/>
      <c r="T44" s="9"/>
      <c r="U44" s="18"/>
      <c r="V44" s="49"/>
      <c r="W44" s="49"/>
      <c r="X44" s="49"/>
      <c r="Y44" s="49"/>
      <c r="Z44" s="49"/>
      <c r="AA44" s="49"/>
      <c r="AB44" s="22"/>
      <c r="AC44" s="22"/>
      <c r="AD44" s="22"/>
      <c r="AE44" s="22"/>
      <c r="AF44" s="22"/>
      <c r="AG44" s="22"/>
      <c r="AH44" s="22"/>
      <c r="AI44" s="9"/>
      <c r="AJ44" s="43"/>
      <c r="AK44" s="50"/>
    </row>
    <row r="45" spans="1:37" ht="16" x14ac:dyDescent="0.15">
      <c r="A45" s="7"/>
      <c r="B45" s="7"/>
      <c r="C45" s="245">
        <v>16</v>
      </c>
      <c r="D45" s="250">
        <v>158.83039843750001</v>
      </c>
      <c r="E45" s="250">
        <v>165.43042187500001</v>
      </c>
      <c r="F45" s="247"/>
      <c r="G45" s="45"/>
      <c r="J45" s="46"/>
      <c r="K45" s="7"/>
      <c r="L45" s="17">
        <f t="shared" si="1"/>
        <v>6.6000234374999991</v>
      </c>
      <c r="M45" s="17" t="str">
        <f t="shared" si="1"/>
        <v>delete</v>
      </c>
      <c r="N45" s="17" t="str">
        <f t="shared" si="1"/>
        <v>delete</v>
      </c>
      <c r="O45" s="17" t="str">
        <f t="shared" si="1"/>
        <v>delete</v>
      </c>
      <c r="P45" s="17" t="str">
        <f t="shared" si="1"/>
        <v>delete</v>
      </c>
      <c r="Q45" s="7"/>
      <c r="R45" s="47">
        <f>IF(SUMPRODUCT(D45:I45,D45:I45,$D$53:$I$53)&gt;0,1,0)</f>
        <v>1</v>
      </c>
      <c r="S45" s="48"/>
      <c r="T45" s="9"/>
      <c r="U45" s="18" t="s">
        <v>63</v>
      </c>
      <c r="V45" s="49">
        <f t="shared" si="3"/>
        <v>506.7836956422272</v>
      </c>
      <c r="W45" s="49">
        <f t="shared" si="3"/>
        <v>510.85506947879509</v>
      </c>
      <c r="X45" s="49" t="e">
        <f t="shared" si="3"/>
        <v>#NUM!</v>
      </c>
      <c r="Y45" s="49" t="e">
        <f t="shared" si="3"/>
        <v>#NUM!</v>
      </c>
      <c r="Z45" s="49" t="e">
        <f t="shared" si="3"/>
        <v>#NUM!</v>
      </c>
      <c r="AA45" s="49" t="e">
        <f t="shared" si="3"/>
        <v>#NUM!</v>
      </c>
      <c r="AB45" s="22"/>
      <c r="AC45" s="22"/>
      <c r="AD45" s="22">
        <f t="shared" si="4"/>
        <v>4.0713738365678864</v>
      </c>
      <c r="AE45" s="22" t="str">
        <f t="shared" si="4"/>
        <v>delete</v>
      </c>
      <c r="AF45" s="22" t="str">
        <f t="shared" si="4"/>
        <v>delete</v>
      </c>
      <c r="AG45" s="22" t="str">
        <f t="shared" si="4"/>
        <v>delete</v>
      </c>
      <c r="AH45" s="22" t="str">
        <f t="shared" si="4"/>
        <v>delete</v>
      </c>
      <c r="AI45" s="9"/>
      <c r="AJ45" s="43" t="e">
        <f>IF(SUMPRODUCT(V45:AA45,V45:AA45,$V$53:$AA$53)&gt;0,1,0)</f>
        <v>#NUM!</v>
      </c>
      <c r="AK45" s="50"/>
    </row>
    <row r="46" spans="1:37" ht="16" x14ac:dyDescent="0.2">
      <c r="A46" s="7"/>
      <c r="B46" s="7"/>
      <c r="C46" s="245">
        <v>17</v>
      </c>
      <c r="D46" s="251">
        <v>194.14174</v>
      </c>
      <c r="E46" s="251">
        <v>206.274125</v>
      </c>
      <c r="F46" s="247"/>
      <c r="G46" s="45"/>
      <c r="J46" s="46"/>
      <c r="K46" s="7"/>
      <c r="L46" s="17">
        <f t="shared" si="1"/>
        <v>12.132384999999999</v>
      </c>
      <c r="M46" s="17" t="str">
        <f t="shared" si="1"/>
        <v>delete</v>
      </c>
      <c r="N46" s="17" t="str">
        <f t="shared" si="1"/>
        <v>delete</v>
      </c>
      <c r="O46" s="17" t="str">
        <f t="shared" si="1"/>
        <v>delete</v>
      </c>
      <c r="P46" s="17" t="str">
        <f t="shared" si="1"/>
        <v>delete</v>
      </c>
      <c r="Q46" s="7"/>
      <c r="R46" s="47">
        <f>IF(SUMPRODUCT(D46:I46,D46:I46,$D$53:$I$53)&gt;0,1,0)</f>
        <v>1</v>
      </c>
      <c r="S46" s="48"/>
      <c r="T46" s="9"/>
      <c r="U46" s="18" t="s">
        <v>64</v>
      </c>
      <c r="V46" s="49">
        <f t="shared" si="3"/>
        <v>526.85885108482228</v>
      </c>
      <c r="W46" s="49">
        <f t="shared" si="3"/>
        <v>532.92059880713384</v>
      </c>
      <c r="X46" s="49" t="e">
        <f t="shared" si="3"/>
        <v>#NUM!</v>
      </c>
      <c r="Y46" s="49" t="e">
        <f t="shared" si="3"/>
        <v>#NUM!</v>
      </c>
      <c r="Z46" s="49" t="e">
        <f t="shared" si="3"/>
        <v>#NUM!</v>
      </c>
      <c r="AA46" s="49" t="e">
        <f t="shared" si="3"/>
        <v>#NUM!</v>
      </c>
      <c r="AB46" s="22"/>
      <c r="AC46" s="22"/>
      <c r="AD46" s="22">
        <f t="shared" si="4"/>
        <v>6.0617477223115657</v>
      </c>
      <c r="AE46" s="22" t="str">
        <f t="shared" si="4"/>
        <v>delete</v>
      </c>
      <c r="AF46" s="22" t="str">
        <f t="shared" si="4"/>
        <v>delete</v>
      </c>
      <c r="AG46" s="22" t="str">
        <f t="shared" si="4"/>
        <v>delete</v>
      </c>
      <c r="AH46" s="22" t="str">
        <f t="shared" si="4"/>
        <v>delete</v>
      </c>
      <c r="AI46" s="9"/>
      <c r="AJ46" s="43" t="e">
        <f>IF(SUMPRODUCT(V46:AA46,V46:AA46,$V$53:$AA$53)&gt;0,1,0)</f>
        <v>#NUM!</v>
      </c>
      <c r="AK46" s="50"/>
    </row>
    <row r="47" spans="1:37" ht="16" x14ac:dyDescent="0.2">
      <c r="A47" s="7"/>
      <c r="B47" s="7"/>
      <c r="C47" s="245">
        <v>18</v>
      </c>
      <c r="D47" s="251">
        <v>162.83612500000001</v>
      </c>
      <c r="E47" s="251">
        <v>178.26429687500001</v>
      </c>
      <c r="F47" s="247"/>
      <c r="G47" s="45"/>
      <c r="J47" s="46"/>
      <c r="K47" s="7"/>
      <c r="L47" s="17">
        <f t="shared" si="1"/>
        <v>15.428171875000004</v>
      </c>
      <c r="M47" s="17" t="str">
        <f t="shared" si="1"/>
        <v>delete</v>
      </c>
      <c r="N47" s="17"/>
      <c r="O47" s="17"/>
      <c r="P47" s="17"/>
      <c r="Q47" s="7"/>
      <c r="R47" s="47"/>
      <c r="S47" s="48"/>
      <c r="T47" s="9"/>
      <c r="U47" s="18"/>
      <c r="V47" s="49"/>
      <c r="W47" s="49"/>
      <c r="X47" s="49"/>
      <c r="Y47" s="49"/>
      <c r="Z47" s="49"/>
      <c r="AA47" s="49"/>
      <c r="AB47" s="22"/>
      <c r="AC47" s="22"/>
      <c r="AD47" s="22"/>
      <c r="AE47" s="22"/>
      <c r="AF47" s="22"/>
      <c r="AG47" s="22"/>
      <c r="AH47" s="22"/>
      <c r="AI47" s="9"/>
      <c r="AJ47" s="43"/>
      <c r="AK47" s="50"/>
    </row>
    <row r="48" spans="1:37" ht="16" x14ac:dyDescent="0.2">
      <c r="A48" s="7"/>
      <c r="B48" s="7"/>
      <c r="C48" s="245">
        <v>19</v>
      </c>
      <c r="D48" s="250">
        <v>137.739140625</v>
      </c>
      <c r="E48" s="250">
        <v>153.79428125000001</v>
      </c>
      <c r="F48" s="248"/>
      <c r="G48" s="45"/>
      <c r="J48" s="46"/>
      <c r="K48" s="7"/>
      <c r="L48" s="17">
        <f t="shared" si="1"/>
        <v>16.055140625000007</v>
      </c>
      <c r="M48" s="17" t="str">
        <f t="shared" si="1"/>
        <v>delete</v>
      </c>
      <c r="N48" s="17" t="str">
        <f t="shared" si="1"/>
        <v>delete</v>
      </c>
      <c r="O48" s="17" t="str">
        <f t="shared" si="1"/>
        <v>delete</v>
      </c>
      <c r="P48" s="17" t="str">
        <f t="shared" si="1"/>
        <v>delete</v>
      </c>
      <c r="Q48" s="7"/>
      <c r="R48" s="47">
        <f>IF(SUMPRODUCT(D48:I48,D48:I48,$D$53:$I$53)&gt;0,1,0)</f>
        <v>1</v>
      </c>
      <c r="S48" s="48"/>
      <c r="T48" s="9"/>
      <c r="U48" s="18" t="s">
        <v>65</v>
      </c>
      <c r="V48" s="49">
        <f t="shared" si="3"/>
        <v>492.53616109871717</v>
      </c>
      <c r="W48" s="49">
        <f t="shared" si="3"/>
        <v>503.56158733503287</v>
      </c>
      <c r="X48" s="49" t="e">
        <f t="shared" si="3"/>
        <v>#NUM!</v>
      </c>
      <c r="Y48" s="49" t="e">
        <f t="shared" si="3"/>
        <v>#NUM!</v>
      </c>
      <c r="Z48" s="49" t="e">
        <f t="shared" si="3"/>
        <v>#NUM!</v>
      </c>
      <c r="AA48" s="49" t="e">
        <f t="shared" si="3"/>
        <v>#NUM!</v>
      </c>
      <c r="AB48" s="22"/>
      <c r="AC48" s="22"/>
      <c r="AD48" s="22">
        <f t="shared" si="4"/>
        <v>11.025426236315695</v>
      </c>
      <c r="AE48" s="22" t="str">
        <f t="shared" si="4"/>
        <v>delete</v>
      </c>
      <c r="AF48" s="22" t="str">
        <f t="shared" si="4"/>
        <v>delete</v>
      </c>
      <c r="AG48" s="22" t="str">
        <f t="shared" si="4"/>
        <v>delete</v>
      </c>
      <c r="AH48" s="22" t="str">
        <f t="shared" si="4"/>
        <v>delete</v>
      </c>
      <c r="AI48" s="9"/>
      <c r="AJ48" s="43" t="e">
        <f>IF(SUMPRODUCT(V48:AA48,V48:AA48,$V$53:$AA$53)&gt;0,1,0)</f>
        <v>#NUM!</v>
      </c>
      <c r="AK48" s="50"/>
    </row>
    <row r="49" spans="1:44" ht="16" x14ac:dyDescent="0.15">
      <c r="A49" s="7"/>
      <c r="B49" s="7"/>
      <c r="C49" s="245">
        <v>20</v>
      </c>
      <c r="D49" s="250">
        <v>96.316445312499994</v>
      </c>
      <c r="E49" s="250">
        <v>105.497625</v>
      </c>
      <c r="F49" s="247"/>
      <c r="G49" s="45"/>
      <c r="J49" s="46"/>
      <c r="K49" s="7"/>
      <c r="L49" s="17">
        <f t="shared" si="1"/>
        <v>9.1811796875000056</v>
      </c>
      <c r="M49" s="17" t="str">
        <f t="shared" si="1"/>
        <v>delete</v>
      </c>
      <c r="N49" s="17" t="str">
        <f t="shared" si="1"/>
        <v>delete</v>
      </c>
      <c r="O49" s="17" t="str">
        <f t="shared" si="1"/>
        <v>delete</v>
      </c>
      <c r="P49" s="17" t="str">
        <f t="shared" si="1"/>
        <v>delete</v>
      </c>
      <c r="Q49" s="7"/>
      <c r="R49" s="47">
        <f>IF(SUMPRODUCT(D49:I49,D49:I49,$D$53:$I$53)&gt;0,1,0)</f>
        <v>1</v>
      </c>
      <c r="S49" s="48"/>
      <c r="T49" s="9"/>
      <c r="U49" s="18" t="s">
        <v>66</v>
      </c>
      <c r="V49" s="49">
        <f t="shared" si="3"/>
        <v>456.76390759013083</v>
      </c>
      <c r="W49" s="49">
        <f t="shared" si="3"/>
        <v>465.86884408143845</v>
      </c>
      <c r="X49" s="49" t="e">
        <f t="shared" si="3"/>
        <v>#NUM!</v>
      </c>
      <c r="Y49" s="49" t="e">
        <f t="shared" si="3"/>
        <v>#NUM!</v>
      </c>
      <c r="Z49" s="49" t="e">
        <f t="shared" si="3"/>
        <v>#NUM!</v>
      </c>
      <c r="AA49" s="49" t="e">
        <f t="shared" si="3"/>
        <v>#NUM!</v>
      </c>
      <c r="AB49" s="22"/>
      <c r="AC49" s="22"/>
      <c r="AD49" s="22">
        <f t="shared" si="4"/>
        <v>9.1049364913076261</v>
      </c>
      <c r="AE49" s="22" t="str">
        <f t="shared" si="4"/>
        <v>delete</v>
      </c>
      <c r="AF49" s="22" t="str">
        <f t="shared" si="4"/>
        <v>delete</v>
      </c>
      <c r="AG49" s="22" t="str">
        <f t="shared" si="4"/>
        <v>delete</v>
      </c>
      <c r="AH49" s="22" t="str">
        <f t="shared" si="4"/>
        <v>delete</v>
      </c>
      <c r="AI49" s="9"/>
      <c r="AJ49" s="43" t="e">
        <f>IF(SUMPRODUCT(V49:AA49,V49:AA49,$V$53:$AA$53)&gt;0,1,0)</f>
        <v>#NUM!</v>
      </c>
      <c r="AK49" s="50"/>
    </row>
    <row r="50" spans="1:44" ht="16" x14ac:dyDescent="0.2">
      <c r="A50" s="7"/>
      <c r="B50" s="7"/>
      <c r="C50" s="245">
        <v>21</v>
      </c>
      <c r="D50" s="251">
        <v>195.30596875000001</v>
      </c>
      <c r="E50" s="251">
        <v>204.924515625</v>
      </c>
      <c r="F50" s="247"/>
      <c r="G50" s="45"/>
      <c r="J50" s="46"/>
      <c r="K50" s="7"/>
      <c r="L50" s="17">
        <f t="shared" si="1"/>
        <v>9.6185468749999927</v>
      </c>
      <c r="M50" s="17" t="str">
        <f t="shared" si="1"/>
        <v>delete</v>
      </c>
      <c r="N50" s="17" t="str">
        <f t="shared" si="1"/>
        <v>delete</v>
      </c>
      <c r="O50" s="17" t="str">
        <f t="shared" si="1"/>
        <v>delete</v>
      </c>
      <c r="P50" s="17" t="str">
        <f t="shared" si="1"/>
        <v>delete</v>
      </c>
      <c r="Q50" s="7"/>
      <c r="R50" s="47">
        <f>IF(SUMPRODUCT(D50:I50,D50:I50,$D$53:$I$53)&gt;0,1,0)</f>
        <v>1</v>
      </c>
      <c r="S50" s="48"/>
      <c r="T50" s="9"/>
      <c r="U50" s="18" t="s">
        <v>67</v>
      </c>
      <c r="V50" s="49">
        <f t="shared" si="3"/>
        <v>527.45673993715911</v>
      </c>
      <c r="W50" s="49">
        <f t="shared" si="3"/>
        <v>532.26416948666656</v>
      </c>
      <c r="X50" s="49" t="e">
        <f t="shared" si="3"/>
        <v>#NUM!</v>
      </c>
      <c r="Y50" s="49" t="e">
        <f t="shared" si="3"/>
        <v>#NUM!</v>
      </c>
      <c r="Z50" s="49" t="e">
        <f t="shared" si="3"/>
        <v>#NUM!</v>
      </c>
      <c r="AA50" s="49" t="e">
        <f t="shared" si="3"/>
        <v>#NUM!</v>
      </c>
      <c r="AB50" s="22"/>
      <c r="AC50" s="22"/>
      <c r="AD50" s="22">
        <f t="shared" si="4"/>
        <v>4.8074295495074466</v>
      </c>
      <c r="AE50" s="22" t="str">
        <f t="shared" si="4"/>
        <v>delete</v>
      </c>
      <c r="AF50" s="22" t="str">
        <f t="shared" si="4"/>
        <v>delete</v>
      </c>
      <c r="AG50" s="22" t="str">
        <f t="shared" si="4"/>
        <v>delete</v>
      </c>
      <c r="AH50" s="22" t="str">
        <f t="shared" si="4"/>
        <v>delete</v>
      </c>
      <c r="AI50" s="9"/>
      <c r="AJ50" s="43" t="e">
        <f>IF(SUMPRODUCT(V50:AA50,V50:AA50,$V$53:$AA$53)&gt;0,1,0)</f>
        <v>#NUM!</v>
      </c>
      <c r="AK50" s="50"/>
    </row>
    <row r="51" spans="1:44" x14ac:dyDescent="0.15">
      <c r="A51" s="7"/>
      <c r="B51" s="7"/>
      <c r="C51" s="51" t="s">
        <v>51</v>
      </c>
      <c r="D51" s="246">
        <f>IF(D53&gt;0,AVERAGE(D35:D50),"")</f>
        <v>162.8601722265625</v>
      </c>
      <c r="E51" s="246">
        <f>IF(E53&gt;0,AVERAGE(E35:E50),"")</f>
        <v>172.48574023437502</v>
      </c>
      <c r="F51" s="246" t="str">
        <f>IF(F53&gt;0,AVERAGE(F35:F50),"")</f>
        <v/>
      </c>
      <c r="G51" s="52" t="str">
        <f>IF(G53&gt;0,AVERAGE(#REF!),"")</f>
        <v/>
      </c>
      <c r="H51" s="52" t="str">
        <f>IF(H53&gt;0,AVERAGE(#REF!),"")</f>
        <v/>
      </c>
      <c r="I51" s="52" t="str">
        <f>IF(I53&gt;0,AVERAGE(#REF!),"")</f>
        <v/>
      </c>
      <c r="J51" s="53">
        <f>SUMPRODUCT(D51:I51,D53:I53)/SUM(D53:I53)</f>
        <v>167.67295623046874</v>
      </c>
      <c r="K51" s="51" t="s">
        <v>70</v>
      </c>
      <c r="L51" s="52">
        <f>IF(ISNUMBER(AVERAGE(L35:L50)),AVERAGE(L35:L50),"")</f>
        <v>9.6255680078125003</v>
      </c>
      <c r="M51" s="52" t="str">
        <f>IF(ISNUMBER(AVERAGE(#REF!)),AVERAGE(#REF!),"")</f>
        <v/>
      </c>
      <c r="N51" s="52" t="str">
        <f>IF(ISNUMBER(AVERAGE(#REF!)),AVERAGE(#REF!),"")</f>
        <v/>
      </c>
      <c r="O51" s="52" t="str">
        <f>IF(ISNUMBER(AVERAGE(#REF!)),AVERAGE(#REF!),"")</f>
        <v/>
      </c>
      <c r="P51" s="54" t="str">
        <f>IF(ISNUMBER(AVERAGE(#REF!)),AVERAGE(#REF!),"")</f>
        <v/>
      </c>
      <c r="Q51" s="17" t="s">
        <v>51</v>
      </c>
      <c r="R51" s="55" t="e">
        <f>COUNTIF(#REF!,1)</f>
        <v>#REF!</v>
      </c>
      <c r="S51" s="48"/>
      <c r="T51" s="9"/>
      <c r="U51" s="56" t="s">
        <v>51</v>
      </c>
      <c r="V51" s="57" t="str">
        <f>IF(V53&gt;0,AVERAGE(#REF!),"")</f>
        <v/>
      </c>
      <c r="W51" s="57" t="str">
        <f>IF(W53&gt;0,AVERAGE(#REF!),"")</f>
        <v/>
      </c>
      <c r="X51" s="57" t="str">
        <f>IF(X53&gt;0,AVERAGE(#REF!),"")</f>
        <v/>
      </c>
      <c r="Y51" s="57" t="str">
        <f>IF(Y53&gt;0,AVERAGE(#REF!),"")</f>
        <v/>
      </c>
      <c r="Z51" s="57" t="str">
        <f>IF(Z53&gt;0,AVERAGE(#REF!),"")</f>
        <v/>
      </c>
      <c r="AA51" s="57" t="str">
        <f>IF(AA53&gt;0,AVERAGE(#REF!),"")</f>
        <v/>
      </c>
      <c r="AB51" s="58" t="e">
        <f>SUMPRODUCT(V51:AA51,V53:AA53)/SUM(V53:AA53)</f>
        <v>#DIV/0!</v>
      </c>
      <c r="AC51" s="56" t="s">
        <v>51</v>
      </c>
      <c r="AD51" s="58" t="str">
        <f>IF(ISNUMBER(AVERAGE(#REF!)),AVERAGE(#REF!),"")</f>
        <v/>
      </c>
      <c r="AE51" s="58" t="str">
        <f>IF(ISNUMBER(AVERAGE(#REF!)),AVERAGE(#REF!),"")</f>
        <v/>
      </c>
      <c r="AF51" s="58" t="str">
        <f>IF(ISNUMBER(AVERAGE(#REF!)),AVERAGE(#REF!),"")</f>
        <v/>
      </c>
      <c r="AG51" s="58" t="str">
        <f>IF(ISNUMBER(AVERAGE(#REF!)),AVERAGE(#REF!),"")</f>
        <v/>
      </c>
      <c r="AH51" s="58" t="str">
        <f>IF(ISNUMBER(AVERAGE(#REF!)),AVERAGE(#REF!),"")</f>
        <v/>
      </c>
      <c r="AI51" s="56"/>
      <c r="AJ51" s="43" t="e">
        <f>COUNTIF(#REF!,1)</f>
        <v>#REF!</v>
      </c>
      <c r="AK51" s="50"/>
    </row>
    <row r="52" spans="1:44" x14ac:dyDescent="0.15">
      <c r="A52" s="7"/>
      <c r="B52" s="7"/>
      <c r="C52" s="59" t="s">
        <v>1</v>
      </c>
      <c r="D52" s="83">
        <f>IF(D53&gt;0,STDEV(D29:D50),"")</f>
        <v>44.241997020666894</v>
      </c>
      <c r="E52" s="83">
        <f>IF(E53&gt;0,STDEV(E29:E50),"")</f>
        <v>45.418291101362058</v>
      </c>
      <c r="F52" s="60" t="str">
        <f>IF(F53&gt;0,STDEV(#REF!),"")</f>
        <v/>
      </c>
      <c r="G52" s="60" t="str">
        <f>IF(G53&gt;0,STDEV(#REF!),"")</f>
        <v/>
      </c>
      <c r="H52" s="60" t="str">
        <f>IF(H53&gt;0,STDEV(#REF!),"")</f>
        <v/>
      </c>
      <c r="I52" s="60" t="str">
        <f>IF(I53&gt;0,STDEV(#REF!),"")</f>
        <v/>
      </c>
      <c r="J52" s="61">
        <f>SQRT(SUMPRODUCT(D52:I52,D52:I52,D55:I55)/SUM(D55:I55))</f>
        <v>44.83400197921641</v>
      </c>
      <c r="K52" s="59" t="s">
        <v>71</v>
      </c>
      <c r="L52" s="60">
        <f>IF(ISNUMBER(STDEV(L35:L50)),STDEV(L35:L50),"")</f>
        <v>4.3170960484964223</v>
      </c>
      <c r="M52" s="60" t="str">
        <f>IF(ISNUMBER(STDEV(#REF!)),STDEV(#REF!),"")</f>
        <v/>
      </c>
      <c r="N52" s="60" t="str">
        <f>IF(ISNUMBER(STDEV(#REF!)),STDEV(#REF!),"")</f>
        <v/>
      </c>
      <c r="O52" s="60" t="str">
        <f>IF(ISNUMBER(STDEV(#REF!)),STDEV(#REF!),"")</f>
        <v/>
      </c>
      <c r="P52" s="60" t="str">
        <f>IF(ISNUMBER(STDEV(#REF!)),STDEV(#REF!),"")</f>
        <v/>
      </c>
      <c r="Q52" s="62">
        <f>SQRT(SUMPRODUCT(L52:P52,L52:P52,L76:P76)/SUM(L76:P76))</f>
        <v>4.3170960484964223</v>
      </c>
      <c r="R52" s="63"/>
      <c r="S52" s="64"/>
      <c r="T52" s="9"/>
      <c r="U52" s="56" t="s">
        <v>1</v>
      </c>
      <c r="V52" s="57" t="str">
        <f>IF(V55&gt;0,STDEV(#REF!),"")</f>
        <v/>
      </c>
      <c r="W52" s="57" t="str">
        <f>IF(W55&gt;0,STDEV(#REF!),"")</f>
        <v/>
      </c>
      <c r="X52" s="57" t="str">
        <f>IF(X55&gt;0,STDEV(#REF!),"")</f>
        <v/>
      </c>
      <c r="Y52" s="57" t="str">
        <f>IF(Y55&gt;0,STDEV(#REF!),"")</f>
        <v/>
      </c>
      <c r="Z52" s="57" t="str">
        <f>IF(Z55&gt;0,STDEV(#REF!),"")</f>
        <v/>
      </c>
      <c r="AA52" s="57" t="str">
        <f>IF(AA55&gt;0,STDEV(#REF!),"")</f>
        <v/>
      </c>
      <c r="AB52" s="58" t="e">
        <f>SQRT(SUMPRODUCT(V52:AA52,V52:AA52,V55:AA55)/SUM(V55:AA55))</f>
        <v>#DIV/0!</v>
      </c>
      <c r="AC52" s="56" t="s">
        <v>1</v>
      </c>
      <c r="AD52" s="58" t="str">
        <f>IF(ISNUMBER(STDEV(#REF!)),STDEV(#REF!),"")</f>
        <v/>
      </c>
      <c r="AE52" s="58" t="str">
        <f>IF(ISNUMBER(STDEV(#REF!)),STDEV(#REF!),"")</f>
        <v/>
      </c>
      <c r="AF52" s="58" t="str">
        <f>IF(ISNUMBER(STDEV(#REF!)),STDEV(#REF!),"")</f>
        <v/>
      </c>
      <c r="AG52" s="58" t="str">
        <f>IF(ISNUMBER(STDEV(#REF!)),STDEV(#REF!),"")</f>
        <v/>
      </c>
      <c r="AH52" s="58" t="str">
        <f>IF(ISNUMBER(STDEV(#REF!)),STDEV(#REF!),"")</f>
        <v/>
      </c>
      <c r="AI52" s="65" t="e">
        <f>IF(AI128,SQRT(SUMPRODUCT(AD52:AH52,AD52:AH52,AD128:AH128)/SUM(AD128:AH128)),"")</f>
        <v>#REF!</v>
      </c>
      <c r="AJ52" s="43"/>
    </row>
    <row r="53" spans="1:44" x14ac:dyDescent="0.15">
      <c r="A53" s="7"/>
      <c r="B53" s="7"/>
      <c r="C53" s="59" t="s">
        <v>72</v>
      </c>
      <c r="D53" s="66">
        <f>IF(OR(ISBLANK(D54),D54=0),0,COUNT(D35:D50))</f>
        <v>16</v>
      </c>
      <c r="E53" s="66">
        <f>IF(OR(ISBLANK(E54),E54=0),0,COUNT(E35:E50))</f>
        <v>16</v>
      </c>
      <c r="F53" s="66">
        <f>IF(OR(ISBLANK(F54),F54=0),0,COUNT(#REF!))</f>
        <v>0</v>
      </c>
      <c r="G53" s="66">
        <f>IF(OR(ISBLANK(G54),G54=0),0,COUNT(#REF!))</f>
        <v>0</v>
      </c>
      <c r="H53" s="66">
        <f>IF(OR(ISBLANK(H54),H54=0),0,COUNT(#REF!))</f>
        <v>0</v>
      </c>
      <c r="I53" s="66">
        <f>IF(OR(ISBLANK(I54),I54=0),0,COUNT(#REF!))</f>
        <v>0</v>
      </c>
      <c r="J53" s="67" t="e">
        <f>R51</f>
        <v>#REF!</v>
      </c>
      <c r="K53" s="68" t="s">
        <v>72</v>
      </c>
      <c r="L53" s="69">
        <f>COUNT(L35:L50)</f>
        <v>16</v>
      </c>
      <c r="M53" s="69">
        <f>COUNT(#REF!)</f>
        <v>0</v>
      </c>
      <c r="N53" s="69">
        <f>COUNT(#REF!)</f>
        <v>0</v>
      </c>
      <c r="O53" s="69">
        <f>COUNT(#REF!)</f>
        <v>0</v>
      </c>
      <c r="P53" s="69">
        <f>COUNT(#REF!)</f>
        <v>0</v>
      </c>
      <c r="Q53" s="70" t="e">
        <f>R51</f>
        <v>#REF!</v>
      </c>
      <c r="R53" s="7"/>
      <c r="S53" s="9"/>
      <c r="T53" s="9"/>
      <c r="U53" s="56" t="s">
        <v>73</v>
      </c>
      <c r="V53" s="71">
        <f>IF(OR(ISBLANK(V54),V54=0),0,COUNT(#REF!))</f>
        <v>0</v>
      </c>
      <c r="W53" s="71">
        <f>IF(OR(ISBLANK(W54),W54=0),0,COUNT(#REF!))</f>
        <v>0</v>
      </c>
      <c r="X53" s="71">
        <f>IF(OR(ISBLANK(X54),X54=0),0,COUNT(#REF!))</f>
        <v>0</v>
      </c>
      <c r="Y53" s="71">
        <f>IF(OR(ISBLANK(Y54),Y54=0),0,COUNT(#REF!))</f>
        <v>0</v>
      </c>
      <c r="Z53" s="71">
        <f>IF(OR(ISBLANK(Z54),Z54=0),0,COUNT(#REF!))</f>
        <v>0</v>
      </c>
      <c r="AA53" s="71">
        <f>IF(OR(ISBLANK(AA54),AA54=0),0,COUNT(#REF!))</f>
        <v>0</v>
      </c>
      <c r="AB53" s="22"/>
      <c r="AC53" s="56" t="s">
        <v>73</v>
      </c>
      <c r="AD53" s="71">
        <f>COUNT(#REF!)</f>
        <v>0</v>
      </c>
      <c r="AE53" s="71">
        <f>COUNT(#REF!)</f>
        <v>0</v>
      </c>
      <c r="AF53" s="71">
        <f>COUNT(#REF!)</f>
        <v>0</v>
      </c>
      <c r="AG53" s="71">
        <f>COUNT(#REF!)</f>
        <v>0</v>
      </c>
      <c r="AH53" s="71">
        <f>COUNT(#REF!)</f>
        <v>0</v>
      </c>
      <c r="AI53" s="65"/>
      <c r="AJ53" s="65"/>
    </row>
    <row r="54" spans="1:44" x14ac:dyDescent="0.15">
      <c r="A54" s="7"/>
      <c r="B54" s="7"/>
      <c r="C54" s="72" t="s">
        <v>74</v>
      </c>
      <c r="D54" s="73">
        <v>1</v>
      </c>
      <c r="E54" s="73">
        <v>1</v>
      </c>
      <c r="F54" s="73">
        <v>1</v>
      </c>
      <c r="G54" s="73">
        <v>1</v>
      </c>
      <c r="H54" s="73">
        <v>0</v>
      </c>
      <c r="I54" s="73">
        <v>0</v>
      </c>
      <c r="J54" s="74"/>
      <c r="K54" s="13"/>
      <c r="L54" s="75"/>
      <c r="M54" s="75"/>
      <c r="N54" s="75"/>
      <c r="O54" s="75"/>
      <c r="P54" s="75"/>
      <c r="Q54" s="7"/>
      <c r="R54" s="7"/>
      <c r="S54" s="9"/>
      <c r="T54" s="9"/>
      <c r="U54" s="76" t="s">
        <v>74</v>
      </c>
      <c r="V54" s="77">
        <f t="shared" ref="V54:AA54" si="6">D54</f>
        <v>1</v>
      </c>
      <c r="W54" s="77">
        <f t="shared" si="6"/>
        <v>1</v>
      </c>
      <c r="X54" s="77">
        <f t="shared" si="6"/>
        <v>1</v>
      </c>
      <c r="Y54" s="77">
        <f t="shared" si="6"/>
        <v>1</v>
      </c>
      <c r="Z54" s="77">
        <f t="shared" si="6"/>
        <v>0</v>
      </c>
      <c r="AA54" s="77">
        <f t="shared" si="6"/>
        <v>0</v>
      </c>
      <c r="AB54" s="78"/>
      <c r="AC54" s="56"/>
      <c r="AD54" s="71"/>
      <c r="AE54" s="71"/>
      <c r="AF54" s="71"/>
      <c r="AG54" s="71"/>
      <c r="AH54" s="71"/>
      <c r="AI54" s="65"/>
      <c r="AJ54" s="65"/>
    </row>
    <row r="55" spans="1:44" x14ac:dyDescent="0.15">
      <c r="A55" s="7"/>
      <c r="B55" s="7"/>
      <c r="C55" s="79" t="s">
        <v>75</v>
      </c>
      <c r="D55" s="80">
        <f t="shared" ref="D55:I55" si="7">IF(D53=0,0,D53-1)</f>
        <v>15</v>
      </c>
      <c r="E55" s="80">
        <f t="shared" si="7"/>
        <v>15</v>
      </c>
      <c r="F55" s="80">
        <f t="shared" si="7"/>
        <v>0</v>
      </c>
      <c r="G55" s="80">
        <f t="shared" si="7"/>
        <v>0</v>
      </c>
      <c r="H55" s="80">
        <f t="shared" si="7"/>
        <v>0</v>
      </c>
      <c r="I55" s="80">
        <f t="shared" si="7"/>
        <v>0</v>
      </c>
      <c r="J55" s="80" t="e">
        <f>J53-1</f>
        <v>#REF!</v>
      </c>
      <c r="K55" s="13"/>
      <c r="L55" s="81"/>
      <c r="M55" s="81"/>
      <c r="N55" s="81"/>
      <c r="O55" s="81"/>
      <c r="P55" s="81"/>
      <c r="Q55" s="7"/>
      <c r="R55" s="7"/>
      <c r="S55" s="9"/>
      <c r="T55" s="9"/>
      <c r="U55" s="56" t="s">
        <v>75</v>
      </c>
      <c r="V55" s="71">
        <f t="shared" ref="V55:AA55" si="8">IF(V53=0,0,V53-1)</f>
        <v>0</v>
      </c>
      <c r="W55" s="71">
        <f t="shared" si="8"/>
        <v>0</v>
      </c>
      <c r="X55" s="71">
        <f t="shared" si="8"/>
        <v>0</v>
      </c>
      <c r="Y55" s="71">
        <f t="shared" si="8"/>
        <v>0</v>
      </c>
      <c r="Z55" s="71">
        <f t="shared" si="8"/>
        <v>0</v>
      </c>
      <c r="AA55" s="71">
        <f t="shared" si="8"/>
        <v>0</v>
      </c>
      <c r="AB55" s="22" t="s">
        <v>51</v>
      </c>
      <c r="AC55" s="82" t="s">
        <v>76</v>
      </c>
      <c r="AD55" s="52" t="str">
        <f t="shared" ref="AD55:AH56" si="9">IF(ISNUMBER(AD51),EXP(AD51/100),"")</f>
        <v/>
      </c>
      <c r="AE55" s="52" t="str">
        <f t="shared" si="9"/>
        <v/>
      </c>
      <c r="AF55" s="52" t="str">
        <f t="shared" si="9"/>
        <v/>
      </c>
      <c r="AG55" s="52" t="str">
        <f t="shared" si="9"/>
        <v/>
      </c>
      <c r="AH55" s="54" t="str">
        <f t="shared" si="9"/>
        <v/>
      </c>
      <c r="AI55" s="22" t="s">
        <v>51</v>
      </c>
      <c r="AJ55" s="9"/>
    </row>
    <row r="56" spans="1:44" x14ac:dyDescent="0.15">
      <c r="A56" s="7"/>
      <c r="B56" s="7"/>
      <c r="C56" s="7"/>
      <c r="D56" s="7"/>
      <c r="E56" s="7"/>
      <c r="F56" s="7"/>
      <c r="G56" s="7"/>
      <c r="H56" s="7"/>
      <c r="I56" s="7"/>
      <c r="J56" s="7"/>
      <c r="K56" s="7"/>
      <c r="L56" s="81"/>
      <c r="M56" s="81"/>
      <c r="N56" s="81"/>
      <c r="O56" s="81"/>
      <c r="P56" s="81"/>
      <c r="Q56" s="7"/>
      <c r="R56" s="7"/>
      <c r="S56" s="9"/>
      <c r="T56" s="9"/>
      <c r="U56" s="82" t="s">
        <v>77</v>
      </c>
      <c r="V56" s="52" t="str">
        <f t="shared" ref="V56:AB57" si="10">IF(ISNUMBER(V51),EXP(V51/100),"")</f>
        <v/>
      </c>
      <c r="W56" s="52" t="str">
        <f t="shared" si="10"/>
        <v/>
      </c>
      <c r="X56" s="52" t="str">
        <f t="shared" si="10"/>
        <v/>
      </c>
      <c r="Y56" s="52" t="str">
        <f t="shared" si="10"/>
        <v/>
      </c>
      <c r="Z56" s="52" t="str">
        <f t="shared" si="10"/>
        <v/>
      </c>
      <c r="AA56" s="52" t="str">
        <f t="shared" si="10"/>
        <v/>
      </c>
      <c r="AB56" s="53" t="str">
        <f t="shared" si="10"/>
        <v/>
      </c>
      <c r="AC56" s="18" t="s">
        <v>78</v>
      </c>
      <c r="AD56" s="83" t="str">
        <f t="shared" si="9"/>
        <v/>
      </c>
      <c r="AE56" s="83" t="str">
        <f t="shared" si="9"/>
        <v/>
      </c>
      <c r="AF56" s="83" t="str">
        <f t="shared" si="9"/>
        <v/>
      </c>
      <c r="AG56" s="83" t="str">
        <f t="shared" si="9"/>
        <v/>
      </c>
      <c r="AH56" s="83" t="str">
        <f t="shared" si="9"/>
        <v/>
      </c>
      <c r="AI56" s="84" t="str">
        <f>IF(ISNUMBER(AI77),EXP(AI52/100),"")</f>
        <v/>
      </c>
      <c r="AJ56" s="9"/>
    </row>
    <row r="57" spans="1:44" x14ac:dyDescent="0.15">
      <c r="A57" s="13"/>
      <c r="B57" s="7"/>
      <c r="C57" s="13"/>
      <c r="D57" s="13"/>
      <c r="E57" s="13"/>
      <c r="F57" s="13"/>
      <c r="G57" s="7"/>
      <c r="H57" s="7"/>
      <c r="I57" s="7"/>
      <c r="J57" s="7"/>
      <c r="K57" s="7"/>
      <c r="L57" s="7"/>
      <c r="M57" s="7"/>
      <c r="N57" s="7"/>
      <c r="O57" s="7"/>
      <c r="P57" s="7"/>
      <c r="Q57" s="7"/>
      <c r="R57" s="7"/>
      <c r="S57" s="9"/>
      <c r="T57" s="9"/>
      <c r="U57" s="85" t="s">
        <v>79</v>
      </c>
      <c r="V57" s="83" t="str">
        <f t="shared" si="10"/>
        <v/>
      </c>
      <c r="W57" s="83" t="str">
        <f t="shared" si="10"/>
        <v/>
      </c>
      <c r="X57" s="83" t="str">
        <f t="shared" si="10"/>
        <v/>
      </c>
      <c r="Y57" s="83" t="str">
        <f t="shared" si="10"/>
        <v/>
      </c>
      <c r="Z57" s="83" t="str">
        <f t="shared" si="10"/>
        <v/>
      </c>
      <c r="AA57" s="83" t="str">
        <f t="shared" si="10"/>
        <v/>
      </c>
      <c r="AB57" s="86" t="str">
        <f t="shared" si="10"/>
        <v/>
      </c>
      <c r="AC57" s="18" t="s">
        <v>80</v>
      </c>
      <c r="AD57" s="60" t="str">
        <f>IF(ISNUMBER(AD51),100*EXP(AD51/100)-100,"")</f>
        <v/>
      </c>
      <c r="AE57" s="60" t="str">
        <f>IF(ISNUMBER(AE51),100*EXP(AE51/100)-100,"")</f>
        <v/>
      </c>
      <c r="AF57" s="60" t="str">
        <f>IF(ISNUMBER(AF51),100*EXP(AF51/100)-100,"")</f>
        <v/>
      </c>
      <c r="AG57" s="60" t="str">
        <f>IF(ISNUMBER(AG51),100*EXP(AG51/100)-100,"")</f>
        <v/>
      </c>
      <c r="AH57" s="87" t="str">
        <f>IF(ISNUMBER(AH51),100*EXP(AH51/100)-100,"")</f>
        <v/>
      </c>
      <c r="AI57" s="9"/>
      <c r="AJ57" s="9"/>
    </row>
    <row r="58" spans="1:44" ht="14" x14ac:dyDescent="0.15">
      <c r="A58" s="13"/>
      <c r="B58" s="7" t="s">
        <v>81</v>
      </c>
      <c r="C58" s="88"/>
      <c r="D58" s="88"/>
      <c r="E58" s="7"/>
      <c r="F58" s="7"/>
      <c r="G58" s="7"/>
      <c r="H58" s="7"/>
      <c r="I58" s="7"/>
      <c r="J58" s="7"/>
      <c r="K58" s="7"/>
      <c r="L58" s="7"/>
      <c r="M58" s="7"/>
      <c r="N58" s="7"/>
      <c r="O58" s="7"/>
      <c r="P58" s="7"/>
      <c r="Q58" s="7"/>
      <c r="R58" s="7"/>
      <c r="S58" s="9"/>
      <c r="T58" s="32"/>
      <c r="U58" s="85" t="s">
        <v>82</v>
      </c>
      <c r="V58" s="60" t="str">
        <f t="shared" ref="V58:AB58" si="11">IF(ISNUMBER(V57),100*V57-100,"")</f>
        <v/>
      </c>
      <c r="W58" s="60" t="str">
        <f t="shared" si="11"/>
        <v/>
      </c>
      <c r="X58" s="60" t="str">
        <f t="shared" si="11"/>
        <v/>
      </c>
      <c r="Y58" s="60" t="str">
        <f t="shared" si="11"/>
        <v/>
      </c>
      <c r="Z58" s="60" t="str">
        <f t="shared" si="11"/>
        <v/>
      </c>
      <c r="AA58" s="60" t="str">
        <f t="shared" si="11"/>
        <v/>
      </c>
      <c r="AB58" s="87" t="str">
        <f t="shared" si="11"/>
        <v/>
      </c>
      <c r="AC58" s="18" t="s">
        <v>83</v>
      </c>
      <c r="AD58" s="60" t="str">
        <f>IF(ISNUMBER(AD56),100*AD56-100,"")</f>
        <v/>
      </c>
      <c r="AE58" s="60" t="str">
        <f>IF(ISNUMBER(AE56),100*AE56-100,"")</f>
        <v/>
      </c>
      <c r="AF58" s="60" t="str">
        <f>IF(ISNUMBER(AF56),100*AF56-100,"")</f>
        <v/>
      </c>
      <c r="AG58" s="60" t="str">
        <f>IF(ISNUMBER(AG56),100*AG56-100,"")</f>
        <v/>
      </c>
      <c r="AH58" s="60" t="str">
        <f>IF(ISNUMBER(AH56),100*AH56-100,"")</f>
        <v/>
      </c>
      <c r="AI58" s="54" t="str">
        <f>IF(ISNUMBER(AI77),100*EXP(AI52/100)-100,"")</f>
        <v/>
      </c>
      <c r="AJ58" s="9"/>
    </row>
    <row r="59" spans="1:44" s="34" customFormat="1" ht="16" x14ac:dyDescent="0.2">
      <c r="A59" s="23"/>
      <c r="B59" s="23"/>
      <c r="C59" s="23"/>
      <c r="D59" s="23"/>
      <c r="E59" s="23"/>
      <c r="F59" s="23"/>
      <c r="G59" s="23"/>
      <c r="H59" s="23"/>
      <c r="I59" s="7"/>
      <c r="J59" s="89" t="s">
        <v>84</v>
      </c>
      <c r="K59" s="90"/>
      <c r="L59" s="90"/>
      <c r="M59" s="90"/>
      <c r="N59" s="90"/>
      <c r="O59" s="91"/>
      <c r="P59" s="91"/>
      <c r="Q59" s="92"/>
      <c r="R59" s="27"/>
      <c r="S59" s="9"/>
      <c r="T59" s="32"/>
      <c r="U59" s="93" t="s">
        <v>72</v>
      </c>
      <c r="V59" s="69">
        <f t="shared" ref="V59:AA59" si="12">V53</f>
        <v>0</v>
      </c>
      <c r="W59" s="69">
        <f t="shared" si="12"/>
        <v>0</v>
      </c>
      <c r="X59" s="69">
        <f t="shared" si="12"/>
        <v>0</v>
      </c>
      <c r="Y59" s="69">
        <f t="shared" si="12"/>
        <v>0</v>
      </c>
      <c r="Z59" s="69">
        <f t="shared" si="12"/>
        <v>0</v>
      </c>
      <c r="AA59" s="69">
        <f t="shared" si="12"/>
        <v>0</v>
      </c>
      <c r="AB59" s="94" t="e">
        <f>IF(AJ51,AJ51,"")</f>
        <v>#REF!</v>
      </c>
      <c r="AC59" s="95" t="s">
        <v>72</v>
      </c>
      <c r="AD59" s="69">
        <f>AD53</f>
        <v>0</v>
      </c>
      <c r="AE59" s="69">
        <f>AE53</f>
        <v>0</v>
      </c>
      <c r="AF59" s="69">
        <f>AF53</f>
        <v>0</v>
      </c>
      <c r="AG59" s="69">
        <f>AG53</f>
        <v>0</v>
      </c>
      <c r="AH59" s="69">
        <f>AH53</f>
        <v>0</v>
      </c>
      <c r="AI59" s="94" t="e">
        <f>IF(AJ51,AJ51,"")</f>
        <v>#REF!</v>
      </c>
      <c r="AJ59" s="9"/>
    </row>
    <row r="60" spans="1:44" s="104" customFormat="1" ht="16" x14ac:dyDescent="0.2">
      <c r="A60" s="96"/>
      <c r="B60" s="96"/>
      <c r="C60" s="96"/>
      <c r="D60" s="96"/>
      <c r="E60" s="96"/>
      <c r="F60" s="96"/>
      <c r="G60" s="96"/>
      <c r="H60" s="96"/>
      <c r="I60" s="96"/>
      <c r="J60" s="97" t="s">
        <v>85</v>
      </c>
      <c r="K60" s="35" t="s">
        <v>86</v>
      </c>
      <c r="L60" s="96" t="str">
        <f>L29</f>
        <v>2-1</v>
      </c>
      <c r="M60" s="96" t="str">
        <f>M29</f>
        <v>3-2</v>
      </c>
      <c r="N60" s="96" t="str">
        <f>N29</f>
        <v>4-3</v>
      </c>
      <c r="O60" s="96" t="str">
        <f>O29</f>
        <v>5-4</v>
      </c>
      <c r="P60" s="96" t="str">
        <f>P29</f>
        <v>6-5</v>
      </c>
      <c r="Q60" s="98" t="s">
        <v>51</v>
      </c>
      <c r="R60" s="17"/>
      <c r="S60" s="32"/>
      <c r="T60" s="32"/>
      <c r="U60" s="32"/>
      <c r="V60" s="32"/>
      <c r="W60" s="32"/>
      <c r="X60" s="32"/>
      <c r="Y60" s="32"/>
      <c r="Z60" s="32"/>
      <c r="AA60" s="30"/>
      <c r="AB60" s="99" t="s">
        <v>87</v>
      </c>
      <c r="AC60" s="100"/>
      <c r="AD60" s="100"/>
      <c r="AE60" s="100"/>
      <c r="AF60" s="100"/>
      <c r="AG60" s="100"/>
      <c r="AH60" s="101"/>
      <c r="AI60" s="102"/>
      <c r="AJ60" s="103"/>
      <c r="AK60" s="34"/>
      <c r="AL60" s="34"/>
      <c r="AM60" s="34"/>
      <c r="AN60" s="34"/>
      <c r="AO60" s="34"/>
      <c r="AP60" s="34"/>
      <c r="AQ60" s="34"/>
      <c r="AR60" s="34"/>
    </row>
    <row r="61" spans="1:44" s="3" customFormat="1" ht="14" x14ac:dyDescent="0.15">
      <c r="A61" s="105"/>
      <c r="B61" s="105"/>
      <c r="C61" s="105"/>
      <c r="D61" s="105"/>
      <c r="E61" s="105"/>
      <c r="F61" s="105"/>
      <c r="G61" s="105"/>
      <c r="H61" s="106" t="s">
        <v>88</v>
      </c>
      <c r="I61" s="105"/>
      <c r="J61" s="107"/>
      <c r="K61" s="108" t="s">
        <v>89</v>
      </c>
      <c r="L61" s="109">
        <f>IF(L76,L51,"")</f>
        <v>9.6255680078125003</v>
      </c>
      <c r="M61" s="110" t="str">
        <f>IF(M76,M51,"")</f>
        <v/>
      </c>
      <c r="N61" s="110" t="str">
        <f>IF(N76,N51,"")</f>
        <v/>
      </c>
      <c r="O61" s="110" t="str">
        <f>IF(O76,O51,"")</f>
        <v/>
      </c>
      <c r="P61" s="110" t="str">
        <f>IF(P76,P51,"")</f>
        <v/>
      </c>
      <c r="Q61" s="111"/>
      <c r="R61" s="112"/>
      <c r="S61" s="22"/>
      <c r="T61" s="113" t="s">
        <v>90</v>
      </c>
      <c r="U61" s="22"/>
      <c r="V61" s="22"/>
      <c r="W61" s="22"/>
      <c r="X61" s="22"/>
      <c r="Y61" s="22"/>
      <c r="Z61" s="22"/>
      <c r="AA61" s="42"/>
      <c r="AB61" s="114" t="s">
        <v>91</v>
      </c>
      <c r="AC61" s="95" t="s">
        <v>86</v>
      </c>
      <c r="AD61" s="41" t="str">
        <f>L29</f>
        <v>2-1</v>
      </c>
      <c r="AE61" s="41" t="str">
        <f>M29</f>
        <v>3-2</v>
      </c>
      <c r="AF61" s="41" t="str">
        <f>N29</f>
        <v>4-3</v>
      </c>
      <c r="AG61" s="41" t="str">
        <f>O29</f>
        <v>5-4</v>
      </c>
      <c r="AH61" s="41" t="str">
        <f>P29</f>
        <v>6-5</v>
      </c>
      <c r="AI61" s="115" t="s">
        <v>51</v>
      </c>
      <c r="AJ61" s="42"/>
      <c r="AK61" s="34"/>
      <c r="AL61" s="34"/>
      <c r="AM61" s="34"/>
      <c r="AN61" s="34"/>
      <c r="AO61" s="34"/>
      <c r="AP61" s="34"/>
      <c r="AQ61" s="34"/>
      <c r="AR61" s="34"/>
    </row>
    <row r="62" spans="1:44" ht="14" x14ac:dyDescent="0.15">
      <c r="A62" s="7"/>
      <c r="B62" s="7"/>
      <c r="C62" s="7"/>
      <c r="D62" s="7"/>
      <c r="E62" s="7"/>
      <c r="F62" s="7"/>
      <c r="G62" s="7"/>
      <c r="H62" s="116">
        <f>TTEST(D35:D50,E35:E50,2,1)</f>
        <v>2.2030004311395767E-7</v>
      </c>
      <c r="I62" s="7"/>
      <c r="J62" s="117"/>
      <c r="K62" s="13" t="s">
        <v>92</v>
      </c>
      <c r="L62" s="118">
        <f>IF(L76,L61-TINV(1-$D$27/100,L76)*L52/SQRT(L53),"")</f>
        <v>7.3251499051361009</v>
      </c>
      <c r="M62" s="119" t="str">
        <f>IF(M76,M61-TINV(1-$D$27/100,M76)*M52/SQRT(M53),"")</f>
        <v/>
      </c>
      <c r="N62" s="119" t="str">
        <f>IF(N76,N61-TINV(1-$D$27/100,N76)*N52/SQRT(N53),"")</f>
        <v/>
      </c>
      <c r="O62" s="119" t="str">
        <f>IF(O76,O61-TINV(1-$D$27/100,O76)*O52/SQRT(O53),"")</f>
        <v/>
      </c>
      <c r="P62" s="119" t="str">
        <f>IF(P76,P61-TINV(1-$D$27/100,P76)*P52/SQRT(P53),"")</f>
        <v/>
      </c>
      <c r="Q62" s="98"/>
      <c r="R62" s="17" t="s">
        <v>93</v>
      </c>
      <c r="S62" s="120"/>
      <c r="T62" s="121" t="s">
        <v>94</v>
      </c>
      <c r="U62" s="120"/>
      <c r="V62" s="120"/>
      <c r="W62" s="120"/>
      <c r="X62" s="120"/>
      <c r="Y62" s="120"/>
      <c r="Z62" s="120"/>
      <c r="AA62" s="122"/>
      <c r="AB62" s="123"/>
      <c r="AC62" s="124" t="s">
        <v>76</v>
      </c>
      <c r="AD62" s="125" t="str">
        <f t="shared" ref="AD62:AH64" si="13">IF(ISNUMBER(AD115),EXP(AD115/100),"")</f>
        <v/>
      </c>
      <c r="AE62" s="125" t="str">
        <f t="shared" si="13"/>
        <v/>
      </c>
      <c r="AF62" s="125" t="str">
        <f t="shared" si="13"/>
        <v/>
      </c>
      <c r="AG62" s="125" t="str">
        <f t="shared" si="13"/>
        <v/>
      </c>
      <c r="AH62" s="125" t="str">
        <f t="shared" si="13"/>
        <v/>
      </c>
      <c r="AI62" s="126"/>
      <c r="AJ62" s="127"/>
      <c r="AK62" s="34"/>
      <c r="AL62" s="34"/>
      <c r="AM62" s="34"/>
      <c r="AN62" s="34"/>
      <c r="AO62" s="34"/>
      <c r="AP62" s="34"/>
      <c r="AQ62" s="34"/>
      <c r="AR62" s="34"/>
    </row>
    <row r="63" spans="1:44" ht="14" x14ac:dyDescent="0.15">
      <c r="A63" s="7"/>
      <c r="B63" s="7"/>
      <c r="C63" s="7"/>
      <c r="D63" s="7"/>
      <c r="E63" s="7"/>
      <c r="F63" s="7"/>
      <c r="G63" s="7"/>
      <c r="H63" s="7"/>
      <c r="I63" s="7"/>
      <c r="J63" s="117"/>
      <c r="K63" s="13" t="s">
        <v>95</v>
      </c>
      <c r="L63" s="118">
        <f>IF(L76,L61+TINV(1-$D$27/100,L76)*L52/SQRT(L53),"")</f>
        <v>11.9259861104889</v>
      </c>
      <c r="M63" s="128" t="str">
        <f>IF(M76,M61+TINV(1-$D$27/100,M76)*M52/SQRT(M53),"")</f>
        <v/>
      </c>
      <c r="N63" s="128" t="str">
        <f>IF(N76,N61+TINV(1-$D$27/100,N76)*N52/SQRT(N53),"")</f>
        <v/>
      </c>
      <c r="O63" s="128" t="str">
        <f>IF(O76,O61+TINV(1-$D$27/100,O76)*O52/SQRT(O53),"")</f>
        <v/>
      </c>
      <c r="P63" s="128" t="str">
        <f>IF(P76,P61+TINV(1-$D$27/100,P76)*P52/SQRT(P53),"")</f>
        <v/>
      </c>
      <c r="Q63" s="98"/>
      <c r="R63" s="17"/>
      <c r="S63" s="22"/>
      <c r="T63" s="22"/>
      <c r="U63" s="22"/>
      <c r="V63" s="22"/>
      <c r="W63" s="22"/>
      <c r="X63" s="22"/>
      <c r="Y63" s="22"/>
      <c r="Z63" s="22"/>
      <c r="AA63" s="9"/>
      <c r="AB63" s="129"/>
      <c r="AC63" s="18" t="s">
        <v>92</v>
      </c>
      <c r="AD63" s="119" t="str">
        <f t="shared" si="13"/>
        <v/>
      </c>
      <c r="AE63" s="119" t="str">
        <f t="shared" si="13"/>
        <v/>
      </c>
      <c r="AF63" s="119" t="str">
        <f t="shared" si="13"/>
        <v/>
      </c>
      <c r="AG63" s="119" t="str">
        <f t="shared" si="13"/>
        <v/>
      </c>
      <c r="AH63" s="119" t="str">
        <f t="shared" si="13"/>
        <v/>
      </c>
      <c r="AI63" s="130"/>
      <c r="AJ63" s="131"/>
      <c r="AK63" s="34"/>
      <c r="AL63" s="34"/>
      <c r="AM63" s="34"/>
      <c r="AN63" s="34"/>
      <c r="AO63" s="34"/>
      <c r="AP63" s="34"/>
      <c r="AQ63" s="34"/>
      <c r="AR63" s="34"/>
    </row>
    <row r="64" spans="1:44" s="3" customFormat="1" ht="14" x14ac:dyDescent="0.15">
      <c r="A64" s="105"/>
      <c r="B64" s="105"/>
      <c r="C64" s="105"/>
      <c r="D64" s="105"/>
      <c r="E64" s="105"/>
      <c r="F64" s="105"/>
      <c r="G64" s="105"/>
      <c r="H64" s="106" t="s">
        <v>0</v>
      </c>
      <c r="I64" s="105"/>
      <c r="J64" s="117"/>
      <c r="K64" s="13" t="s">
        <v>96</v>
      </c>
      <c r="L64" s="83">
        <f>IF(L76,(L63-L62)/2,"")</f>
        <v>2.3004181026763995</v>
      </c>
      <c r="M64" s="83" t="str">
        <f>IF(M76,(M63-M62)/2,"")</f>
        <v/>
      </c>
      <c r="N64" s="83" t="str">
        <f>IF(N76,(N63-N62)/2,"")</f>
        <v/>
      </c>
      <c r="O64" s="83" t="str">
        <f>IF(O76,(O63-O62)/2,"")</f>
        <v/>
      </c>
      <c r="P64" s="83" t="str">
        <f>IF(P76,(P63-P62)/2,"")</f>
        <v/>
      </c>
      <c r="Q64" s="98"/>
      <c r="R64" s="132"/>
      <c r="S64" s="22"/>
      <c r="T64" s="22"/>
      <c r="U64" s="22"/>
      <c r="V64" s="22"/>
      <c r="W64" s="22"/>
      <c r="X64" s="22"/>
      <c r="Y64" s="22"/>
      <c r="Z64" s="22"/>
      <c r="AA64" s="9"/>
      <c r="AB64" s="129"/>
      <c r="AC64" s="18" t="s">
        <v>95</v>
      </c>
      <c r="AD64" s="133" t="str">
        <f t="shared" si="13"/>
        <v/>
      </c>
      <c r="AE64" s="133" t="str">
        <f t="shared" si="13"/>
        <v/>
      </c>
      <c r="AF64" s="133" t="str">
        <f t="shared" si="13"/>
        <v/>
      </c>
      <c r="AG64" s="133" t="str">
        <f t="shared" si="13"/>
        <v/>
      </c>
      <c r="AH64" s="133" t="str">
        <f t="shared" si="13"/>
        <v/>
      </c>
      <c r="AI64" s="134"/>
      <c r="AJ64" s="135"/>
      <c r="AK64" s="34"/>
      <c r="AL64" s="34"/>
      <c r="AM64" s="34"/>
      <c r="AN64" s="34"/>
      <c r="AO64" s="34"/>
      <c r="AP64" s="34"/>
      <c r="AQ64" s="34"/>
      <c r="AR64" s="34"/>
    </row>
    <row r="65" spans="1:44" ht="14" x14ac:dyDescent="0.15">
      <c r="A65" s="7"/>
      <c r="B65" s="7"/>
      <c r="C65" s="7"/>
      <c r="D65" s="7"/>
      <c r="E65" s="7"/>
      <c r="F65" s="7"/>
      <c r="G65" s="7"/>
      <c r="H65" s="136">
        <f>L65/$J$51*100</f>
        <v>1.8205964513022379</v>
      </c>
      <c r="I65" s="7"/>
      <c r="J65" s="137"/>
      <c r="K65" s="138" t="s">
        <v>97</v>
      </c>
      <c r="L65" s="139">
        <f>IF(L76,STDEV(L35:L50)/SQRT(2),"")</f>
        <v>3.0526478909254684</v>
      </c>
      <c r="M65" s="125" t="str">
        <f>IF(M76,STDEV(#REF!)/SQRT(2),"")</f>
        <v/>
      </c>
      <c r="N65" s="125" t="str">
        <f>IF(N76,STDEV(#REF!)/SQRT(2),"")</f>
        <v/>
      </c>
      <c r="O65" s="125" t="str">
        <f>IF(O76,STDEV(#REF!)/SQRT(2),"")</f>
        <v/>
      </c>
      <c r="P65" s="125" t="str">
        <f>IF(P76,STDEV(#REF!)/SQRT(2),"")</f>
        <v/>
      </c>
      <c r="Q65" s="140">
        <f>SQRT(SUMPRODUCT(L65:P65,L65:P65,L76:P76)/SUM(L76:P76))</f>
        <v>3.0526478909254684</v>
      </c>
      <c r="R65" s="141"/>
      <c r="S65" s="142"/>
      <c r="T65" s="142"/>
      <c r="U65" s="142"/>
      <c r="V65" s="142"/>
      <c r="W65" s="142"/>
      <c r="X65" s="142"/>
      <c r="Y65" s="142"/>
      <c r="Z65" s="142"/>
      <c r="AA65" s="122"/>
      <c r="AB65" s="129"/>
      <c r="AC65" s="18" t="s">
        <v>98</v>
      </c>
      <c r="AD65" s="83" t="str">
        <f>IF(ISNUMBER(AD62),SQRT(AD64/AD63),"")</f>
        <v/>
      </c>
      <c r="AE65" s="83" t="str">
        <f>IF(ISNUMBER(AE62),SQRT(AE64/AE63),"")</f>
        <v/>
      </c>
      <c r="AF65" s="83" t="str">
        <f>IF(ISNUMBER(AF62),SQRT(AF64/AF63),"")</f>
        <v/>
      </c>
      <c r="AG65" s="83" t="str">
        <f>IF(ISNUMBER(AG62),SQRT(AG64/AG63),"")</f>
        <v/>
      </c>
      <c r="AH65" s="83" t="str">
        <f>IF(ISNUMBER(AH62),SQRT(AH64/AH63),"")</f>
        <v/>
      </c>
      <c r="AI65" s="134"/>
      <c r="AJ65" s="143"/>
      <c r="AK65" s="34"/>
      <c r="AL65" s="34"/>
      <c r="AM65" s="34"/>
      <c r="AN65" s="34"/>
      <c r="AO65" s="34"/>
      <c r="AP65" s="34"/>
      <c r="AQ65" s="34"/>
      <c r="AR65" s="34"/>
    </row>
    <row r="66" spans="1:44" ht="14" x14ac:dyDescent="0.15">
      <c r="A66" s="7"/>
      <c r="B66" s="7"/>
      <c r="C66" s="7"/>
      <c r="D66" s="7"/>
      <c r="E66" s="7"/>
      <c r="F66" s="7"/>
      <c r="G66" s="7"/>
      <c r="H66" s="136">
        <f>L66/$J$51*100</f>
        <v>1.3448834425803591</v>
      </c>
      <c r="I66" s="7"/>
      <c r="J66" s="144"/>
      <c r="K66" s="13" t="s">
        <v>92</v>
      </c>
      <c r="L66" s="118">
        <f>IF(L76,SQRT(L76*L65^2/CHIINV((1-$D$27/100)/2,L76)),"")</f>
        <v>2.255005826028587</v>
      </c>
      <c r="M66" s="119" t="str">
        <f>IF(M76,SQRT(M76*M65^2/CHIINV((1-$D$27/100)/2,M76)),"")</f>
        <v/>
      </c>
      <c r="N66" s="119" t="str">
        <f>IF(N76,SQRT(N76*N65^2/CHIINV((1-$D$27/100)/2,N76)),"")</f>
        <v/>
      </c>
      <c r="O66" s="119" t="str">
        <f>IF(O76,SQRT(O76*O65^2/CHIINV((1-$D$27/100)/2,O76)),"")</f>
        <v/>
      </c>
      <c r="P66" s="119" t="str">
        <f>IF(P76,SQRT(P76*P65^2/CHIINV((1-$D$27/100)/2,P76)),"")</f>
        <v/>
      </c>
      <c r="Q66" s="86">
        <f>SQRT(Q76*Q65^2/CHIINV((1-$D$27/100)/2,Q76))</f>
        <v>2.255005826028587</v>
      </c>
      <c r="R66" s="145"/>
      <c r="S66" s="146"/>
      <c r="T66" s="146"/>
      <c r="U66" s="146"/>
      <c r="V66" s="146"/>
      <c r="W66" s="146"/>
      <c r="X66" s="146"/>
      <c r="Y66" s="146"/>
      <c r="Z66" s="146"/>
      <c r="AA66" s="9"/>
      <c r="AB66" s="123"/>
      <c r="AC66" s="124" t="s">
        <v>99</v>
      </c>
      <c r="AD66" s="125" t="str">
        <f t="shared" ref="AD66:AH68" si="14">IF(ISNUMBER(AD118),EXP(AD118/100),"")</f>
        <v/>
      </c>
      <c r="AE66" s="125" t="str">
        <f t="shared" si="14"/>
        <v/>
      </c>
      <c r="AF66" s="125" t="str">
        <f t="shared" si="14"/>
        <v/>
      </c>
      <c r="AG66" s="125" t="str">
        <f t="shared" si="14"/>
        <v/>
      </c>
      <c r="AH66" s="125" t="str">
        <f t="shared" si="14"/>
        <v/>
      </c>
      <c r="AI66" s="140" t="str">
        <f>IF(ISNUMBER(AI77),EXP(AI118/100),"")</f>
        <v/>
      </c>
      <c r="AJ66" s="147"/>
      <c r="AK66" s="34"/>
      <c r="AL66" s="34"/>
      <c r="AM66" s="34"/>
      <c r="AN66" s="34"/>
      <c r="AO66" s="34"/>
      <c r="AP66" s="34"/>
      <c r="AQ66" s="34"/>
      <c r="AR66" s="34"/>
    </row>
    <row r="67" spans="1:44" s="3" customFormat="1" ht="14" x14ac:dyDescent="0.15">
      <c r="A67" s="105"/>
      <c r="B67" s="105"/>
      <c r="C67" s="105"/>
      <c r="D67" s="105"/>
      <c r="E67" s="105"/>
      <c r="F67" s="105"/>
      <c r="G67" s="105"/>
      <c r="H67" s="136">
        <f>L67/$J$51*100</f>
        <v>2.8177211477884367</v>
      </c>
      <c r="I67" s="105"/>
      <c r="J67" s="144"/>
      <c r="K67" s="13" t="s">
        <v>95</v>
      </c>
      <c r="L67" s="118">
        <f>IF(L76,SQRT(L76*L65^2/CHIINV(1-(1-$D$27/100)/2,L76)),"")</f>
        <v>4.724556346827967</v>
      </c>
      <c r="M67" s="128" t="str">
        <f>IF(M76,SQRT(M76*M65^2/CHIINV(1-(1-$D$27/100)/2,M76)),"")</f>
        <v/>
      </c>
      <c r="N67" s="128" t="str">
        <f>IF(N76,SQRT(N76*N65^2/CHIINV(1-(1-$D$27/100)/2,N76)),"")</f>
        <v/>
      </c>
      <c r="O67" s="128" t="str">
        <f>IF(O76,SQRT(O76*O65^2/CHIINV(1-(1-$D$27/100)/2,O76)),"")</f>
        <v/>
      </c>
      <c r="P67" s="128" t="str">
        <f>IF(P76,SQRT(P76*P65^2/CHIINV(1-(1-$D$27/100)/2,P76)),"")</f>
        <v/>
      </c>
      <c r="Q67" s="86">
        <f>SQRT(Q76*Q65^2/CHIINV(1-(1-$D$27/100)/2,Q76))</f>
        <v>4.724556346827967</v>
      </c>
      <c r="R67" s="148"/>
      <c r="S67" s="149"/>
      <c r="T67" s="149"/>
      <c r="U67" s="149"/>
      <c r="V67" s="149"/>
      <c r="W67" s="149"/>
      <c r="X67" s="149"/>
      <c r="Y67" s="149"/>
      <c r="Z67" s="149"/>
      <c r="AA67" s="9"/>
      <c r="AB67" s="129"/>
      <c r="AC67" s="18" t="s">
        <v>92</v>
      </c>
      <c r="AD67" s="119" t="str">
        <f t="shared" si="14"/>
        <v/>
      </c>
      <c r="AE67" s="119" t="str">
        <f t="shared" si="14"/>
        <v/>
      </c>
      <c r="AF67" s="119" t="str">
        <f t="shared" si="14"/>
        <v/>
      </c>
      <c r="AG67" s="119" t="str">
        <f t="shared" si="14"/>
        <v/>
      </c>
      <c r="AH67" s="119" t="str">
        <f t="shared" si="14"/>
        <v/>
      </c>
      <c r="AI67" s="150" t="str">
        <f>IF(ISNUMBER(AI77),EXP(AI119/100),"")</f>
        <v/>
      </c>
      <c r="AJ67" s="151"/>
      <c r="AK67" s="34"/>
      <c r="AL67" s="34"/>
      <c r="AM67" s="34"/>
      <c r="AN67" s="34"/>
      <c r="AO67" s="34"/>
      <c r="AP67" s="34"/>
      <c r="AQ67" s="34"/>
      <c r="AR67" s="34"/>
    </row>
    <row r="68" spans="1:44" ht="14" x14ac:dyDescent="0.15">
      <c r="A68" s="7"/>
      <c r="B68" s="7"/>
      <c r="C68" s="7"/>
      <c r="D68" s="7"/>
      <c r="E68" s="7"/>
      <c r="F68" s="7"/>
      <c r="G68" s="7"/>
      <c r="H68" s="7"/>
      <c r="I68" s="105"/>
      <c r="J68" s="144"/>
      <c r="K68" s="152" t="s">
        <v>100</v>
      </c>
      <c r="L68" s="83">
        <f t="shared" ref="L68:Q68" si="15">IF(ISNUMBER(L66),SQRT(L67/L66),"")</f>
        <v>1.4474603710322742</v>
      </c>
      <c r="M68" s="83" t="str">
        <f t="shared" si="15"/>
        <v/>
      </c>
      <c r="N68" s="83" t="str">
        <f t="shared" si="15"/>
        <v/>
      </c>
      <c r="O68" s="83" t="str">
        <f t="shared" si="15"/>
        <v/>
      </c>
      <c r="P68" s="83" t="str">
        <f t="shared" si="15"/>
        <v/>
      </c>
      <c r="Q68" s="86">
        <f t="shared" si="15"/>
        <v>1.4474603710322742</v>
      </c>
      <c r="R68" s="153"/>
      <c r="S68" s="154"/>
      <c r="T68" s="154"/>
      <c r="U68" s="154"/>
      <c r="V68" s="154"/>
      <c r="W68" s="154"/>
      <c r="X68" s="154"/>
      <c r="Y68" s="154"/>
      <c r="Z68" s="154"/>
      <c r="AA68" s="122"/>
      <c r="AB68" s="129"/>
      <c r="AC68" s="18" t="s">
        <v>95</v>
      </c>
      <c r="AD68" s="133" t="str">
        <f t="shared" si="14"/>
        <v/>
      </c>
      <c r="AE68" s="133" t="str">
        <f t="shared" si="14"/>
        <v/>
      </c>
      <c r="AF68" s="133" t="str">
        <f t="shared" si="14"/>
        <v/>
      </c>
      <c r="AG68" s="133" t="str">
        <f t="shared" si="14"/>
        <v/>
      </c>
      <c r="AH68" s="133" t="str">
        <f t="shared" si="14"/>
        <v/>
      </c>
      <c r="AI68" s="155" t="str">
        <f>IF(ISNUMBER(AI77),EXP(AI120/100),"")</f>
        <v/>
      </c>
      <c r="AJ68" s="154"/>
      <c r="AK68" s="34"/>
      <c r="AL68" s="34"/>
      <c r="AM68" s="34"/>
      <c r="AN68" s="34"/>
      <c r="AO68" s="34"/>
      <c r="AP68" s="34"/>
      <c r="AQ68" s="34"/>
      <c r="AR68" s="34"/>
    </row>
    <row r="69" spans="1:44" ht="14" x14ac:dyDescent="0.15">
      <c r="A69" s="7"/>
      <c r="B69" s="7"/>
      <c r="C69" s="7"/>
      <c r="D69" s="7"/>
      <c r="E69" s="7"/>
      <c r="F69" s="7"/>
      <c r="G69" s="7"/>
      <c r="H69" s="106" t="s">
        <v>101</v>
      </c>
      <c r="I69" s="7"/>
      <c r="J69" s="144"/>
      <c r="K69" s="13" t="s">
        <v>102</v>
      </c>
      <c r="L69" s="83">
        <f t="shared" ref="L69:Q69" si="16">IF(L76,1+1/(4*L76),"")</f>
        <v>1.0166666666666666</v>
      </c>
      <c r="M69" s="83" t="str">
        <f t="shared" si="16"/>
        <v/>
      </c>
      <c r="N69" s="83" t="str">
        <f t="shared" si="16"/>
        <v/>
      </c>
      <c r="O69" s="83" t="str">
        <f t="shared" si="16"/>
        <v/>
      </c>
      <c r="P69" s="83" t="str">
        <f t="shared" si="16"/>
        <v/>
      </c>
      <c r="Q69" s="86">
        <f t="shared" si="16"/>
        <v>1.0166666666666666</v>
      </c>
      <c r="R69" s="153"/>
      <c r="S69" s="156"/>
      <c r="T69" s="156"/>
      <c r="U69" s="156"/>
      <c r="V69" s="156"/>
      <c r="W69" s="156"/>
      <c r="X69" s="156"/>
      <c r="Y69" s="156"/>
      <c r="Z69" s="156"/>
      <c r="AA69" s="9"/>
      <c r="AB69" s="129"/>
      <c r="AC69" s="157" t="s">
        <v>100</v>
      </c>
      <c r="AD69" s="83" t="str">
        <f t="shared" ref="AD69:AI69" si="17">IF(ISNUMBER(AD67),SQRT(AD68/AD67),"")</f>
        <v/>
      </c>
      <c r="AE69" s="83" t="str">
        <f t="shared" si="17"/>
        <v/>
      </c>
      <c r="AF69" s="83" t="str">
        <f t="shared" si="17"/>
        <v/>
      </c>
      <c r="AG69" s="83" t="str">
        <f t="shared" si="17"/>
        <v/>
      </c>
      <c r="AH69" s="83" t="str">
        <f t="shared" si="17"/>
        <v/>
      </c>
      <c r="AI69" s="86" t="str">
        <f t="shared" si="17"/>
        <v/>
      </c>
      <c r="AJ69" s="158"/>
      <c r="AK69" s="34"/>
      <c r="AL69" s="34"/>
      <c r="AM69" s="34"/>
      <c r="AN69" s="34"/>
      <c r="AO69" s="34"/>
      <c r="AP69" s="34"/>
      <c r="AQ69" s="34"/>
      <c r="AR69" s="34"/>
    </row>
    <row r="70" spans="1:44" ht="14" x14ac:dyDescent="0.15">
      <c r="A70" s="7"/>
      <c r="B70" s="7"/>
      <c r="C70" s="7"/>
      <c r="D70" s="7"/>
      <c r="E70" s="7"/>
      <c r="F70" s="7"/>
      <c r="G70" s="7"/>
      <c r="H70" s="159">
        <f>(E51-D51)/J52</f>
        <v>0.21469348224311136</v>
      </c>
      <c r="I70" s="7"/>
      <c r="J70" s="144"/>
      <c r="K70" s="138" t="s">
        <v>103</v>
      </c>
      <c r="L70" s="83">
        <f t="shared" ref="L70:Q70" si="18">IF(L$76*(L92&gt;0),$D$26*SQRT(L103),"")</f>
        <v>8.9459914471821627</v>
      </c>
      <c r="M70" s="83" t="str">
        <f t="shared" si="18"/>
        <v/>
      </c>
      <c r="N70" s="83" t="str">
        <f t="shared" si="18"/>
        <v/>
      </c>
      <c r="O70" s="83" t="str">
        <f t="shared" si="18"/>
        <v/>
      </c>
      <c r="P70" s="83" t="str">
        <f t="shared" si="18"/>
        <v/>
      </c>
      <c r="Q70" s="86" t="e">
        <f t="shared" si="18"/>
        <v>#REF!</v>
      </c>
      <c r="R70" s="153"/>
      <c r="S70" s="156"/>
      <c r="T70" s="156"/>
      <c r="U70" s="156"/>
      <c r="V70" s="156"/>
      <c r="W70" s="156"/>
      <c r="X70" s="156"/>
      <c r="Y70" s="156"/>
      <c r="Z70" s="156"/>
      <c r="AA70" s="9"/>
      <c r="AB70" s="129"/>
      <c r="AC70" s="18" t="s">
        <v>102</v>
      </c>
      <c r="AD70" s="83" t="str">
        <f t="shared" ref="AD70:AI70" si="19">IF(ISNUMBER(AD66),AD66^AD121/AD66,"")</f>
        <v/>
      </c>
      <c r="AE70" s="83" t="str">
        <f t="shared" si="19"/>
        <v/>
      </c>
      <c r="AF70" s="83" t="str">
        <f t="shared" si="19"/>
        <v/>
      </c>
      <c r="AG70" s="83" t="str">
        <f t="shared" si="19"/>
        <v/>
      </c>
      <c r="AH70" s="83" t="str">
        <f t="shared" si="19"/>
        <v/>
      </c>
      <c r="AI70" s="86" t="str">
        <f t="shared" si="19"/>
        <v/>
      </c>
      <c r="AJ70" s="158"/>
      <c r="AK70" s="34"/>
      <c r="AL70" s="34"/>
      <c r="AM70" s="34"/>
      <c r="AN70" s="34"/>
      <c r="AO70" s="34"/>
      <c r="AP70" s="34"/>
      <c r="AQ70" s="34"/>
      <c r="AR70" s="34"/>
    </row>
    <row r="71" spans="1:44" ht="14" x14ac:dyDescent="0.15">
      <c r="A71" s="7"/>
      <c r="B71" s="7"/>
      <c r="C71" s="7"/>
      <c r="D71" s="7"/>
      <c r="E71" s="7"/>
      <c r="F71" s="7"/>
      <c r="G71" s="7"/>
      <c r="H71" s="7"/>
      <c r="I71" s="7"/>
      <c r="J71" s="144"/>
      <c r="K71" s="13" t="s">
        <v>92</v>
      </c>
      <c r="L71" s="83">
        <f>IF(L$76*(L92&gt;0),0.2*(IF(L105&gt;0,SQRT(L105),-SQRT(-L105))),"")</f>
        <v>4.7421921213732157</v>
      </c>
      <c r="M71" s="119" t="str">
        <f>IF(M$76*(M92&gt;0),0.2*(IF(M105&gt;0,SQRT(M105),-SQRT(-M105))),"")</f>
        <v/>
      </c>
      <c r="N71" s="119" t="str">
        <f>IF(N$76*(N92&gt;0),0.2*(IF(N105&gt;0,SQRT(N105),-SQRT(-N105))),"")</f>
        <v/>
      </c>
      <c r="O71" s="119" t="str">
        <f>IF(O$76*(O92&gt;0),0.2*(IF(O105&gt;0,SQRT(O105),-SQRT(-O105))),"")</f>
        <v/>
      </c>
      <c r="P71" s="119" t="str">
        <f>IF(P$76*(P92&gt;0),0.2*(IF(P105&gt;0,SQRT(P105),-SQRT(-P105))),"")</f>
        <v/>
      </c>
      <c r="Q71" s="86" t="e">
        <f>IF(Q$76*(Q92&gt;0),0.2*IF(Q105&gt;0,SQRT(Q105),-SQRT(-Q105)),"")</f>
        <v>#REF!</v>
      </c>
      <c r="R71" s="153"/>
      <c r="S71" s="156"/>
      <c r="T71" s="156"/>
      <c r="U71" s="156"/>
      <c r="V71" s="156"/>
      <c r="W71" s="156"/>
      <c r="X71" s="156"/>
      <c r="Y71" s="156"/>
      <c r="Z71" s="156"/>
      <c r="AA71" s="9"/>
      <c r="AB71" s="129"/>
      <c r="AC71" s="124" t="s">
        <v>103</v>
      </c>
      <c r="AD71" s="125" t="str">
        <f t="shared" ref="AD71:AI76" si="20">IF(ISNUMBER(AD122),EXP(AD122/100),"")</f>
        <v/>
      </c>
      <c r="AE71" s="125" t="str">
        <f t="shared" si="20"/>
        <v/>
      </c>
      <c r="AF71" s="125" t="str">
        <f t="shared" si="20"/>
        <v/>
      </c>
      <c r="AG71" s="125" t="str">
        <f t="shared" si="20"/>
        <v/>
      </c>
      <c r="AH71" s="125" t="str">
        <f t="shared" si="20"/>
        <v/>
      </c>
      <c r="AI71" s="140" t="str">
        <f t="shared" si="20"/>
        <v/>
      </c>
      <c r="AJ71" s="158"/>
      <c r="AK71" s="34"/>
      <c r="AL71" s="34"/>
      <c r="AM71" s="34"/>
      <c r="AN71" s="34"/>
      <c r="AO71" s="34"/>
      <c r="AP71" s="34"/>
      <c r="AQ71" s="34"/>
      <c r="AR71" s="34"/>
    </row>
    <row r="72" spans="1:44" ht="14" x14ac:dyDescent="0.15">
      <c r="A72" s="7"/>
      <c r="B72" s="7"/>
      <c r="C72" s="7"/>
      <c r="D72" s="7"/>
      <c r="E72" s="7"/>
      <c r="F72" s="7"/>
      <c r="G72" s="7"/>
      <c r="H72" s="106" t="s">
        <v>104</v>
      </c>
      <c r="I72" s="7"/>
      <c r="J72" s="144"/>
      <c r="K72" s="13" t="s">
        <v>95</v>
      </c>
      <c r="L72" s="83">
        <f t="shared" ref="L72:Q72" si="21">IF(L$76*(L92&gt;0),0.2*SQRT(L106),"")</f>
        <v>11.729157677774587</v>
      </c>
      <c r="M72" s="133" t="str">
        <f t="shared" si="21"/>
        <v/>
      </c>
      <c r="N72" s="133" t="str">
        <f t="shared" si="21"/>
        <v/>
      </c>
      <c r="O72" s="133" t="str">
        <f t="shared" si="21"/>
        <v/>
      </c>
      <c r="P72" s="133" t="str">
        <f t="shared" si="21"/>
        <v/>
      </c>
      <c r="Q72" s="86" t="e">
        <f t="shared" si="21"/>
        <v>#REF!</v>
      </c>
      <c r="R72" s="132"/>
      <c r="S72" s="156"/>
      <c r="T72" s="156"/>
      <c r="U72" s="156"/>
      <c r="V72" s="156"/>
      <c r="W72" s="156"/>
      <c r="X72" s="156"/>
      <c r="Y72" s="156"/>
      <c r="Z72" s="156"/>
      <c r="AA72" s="9"/>
      <c r="AB72" s="129"/>
      <c r="AC72" s="18" t="s">
        <v>92</v>
      </c>
      <c r="AD72" s="119" t="str">
        <f t="shared" si="20"/>
        <v/>
      </c>
      <c r="AE72" s="119" t="str">
        <f t="shared" si="20"/>
        <v/>
      </c>
      <c r="AF72" s="119" t="str">
        <f t="shared" si="20"/>
        <v/>
      </c>
      <c r="AG72" s="119" t="str">
        <f t="shared" si="20"/>
        <v/>
      </c>
      <c r="AH72" s="119" t="str">
        <f t="shared" si="20"/>
        <v/>
      </c>
      <c r="AI72" s="150" t="str">
        <f t="shared" si="20"/>
        <v/>
      </c>
      <c r="AJ72" s="158"/>
      <c r="AK72" s="34"/>
      <c r="AL72" s="34"/>
      <c r="AM72" s="34"/>
      <c r="AN72" s="34"/>
      <c r="AO72" s="34"/>
      <c r="AP72" s="34"/>
      <c r="AQ72" s="34"/>
      <c r="AR72" s="34"/>
    </row>
    <row r="73" spans="1:44" ht="14" x14ac:dyDescent="0.15">
      <c r="A73" s="7"/>
      <c r="B73" s="7"/>
      <c r="C73" s="7"/>
      <c r="D73" s="7"/>
      <c r="E73" s="7"/>
      <c r="F73" s="7"/>
      <c r="G73" s="7"/>
      <c r="H73" s="159">
        <f>(J52/J51)*100</f>
        <v>26.738958378947807</v>
      </c>
      <c r="I73" s="7"/>
      <c r="J73" s="144"/>
      <c r="K73" s="138" t="s">
        <v>105</v>
      </c>
      <c r="L73" s="83">
        <f>IF(L$76,$D$26*SQRT(SUMPRODUCT(D$52:E$52,D$52:E$52,D$55:E$55)/SUM(D$55:E$55)),"")</f>
        <v>8.9668003958432827</v>
      </c>
      <c r="M73" s="83" t="str">
        <f>IF(M$76,$D$26*SQRT(SUMPRODUCT(E$52:F$52,E$52:F$52,E$55:F$55)/SUM(E$55:F$55)),"")</f>
        <v/>
      </c>
      <c r="N73" s="83" t="str">
        <f>IF(N$76,$D$26*SQRT(SUMPRODUCT(F$52:G$52,F$52:G$52,F$55:G$55)/SUM(F$55:G$55)),"")</f>
        <v/>
      </c>
      <c r="O73" s="83" t="str">
        <f>IF(O$76,$D$26*SQRT(SUMPRODUCT(G$52:H$52,G$52:H$52,G$55:H$55)/SUM(G$55:H$55)),"")</f>
        <v/>
      </c>
      <c r="P73" s="83" t="str">
        <f>IF(P$76,$D$26*SQRT(SUMPRODUCT(H$52:I$52,H$52:I$52,H$55:I$55)/SUM(H$55:I$55)),"")</f>
        <v/>
      </c>
      <c r="Q73" s="86">
        <f>$D$26*J52</f>
        <v>8.9668003958432827</v>
      </c>
      <c r="R73" s="141"/>
      <c r="S73" s="142"/>
      <c r="T73" s="142"/>
      <c r="U73" s="142"/>
      <c r="V73" s="142"/>
      <c r="W73" s="142"/>
      <c r="X73" s="142"/>
      <c r="Y73" s="142"/>
      <c r="Z73" s="142"/>
      <c r="AA73" s="9"/>
      <c r="AB73" s="129"/>
      <c r="AC73" s="18" t="s">
        <v>95</v>
      </c>
      <c r="AD73" s="133" t="str">
        <f t="shared" si="20"/>
        <v/>
      </c>
      <c r="AE73" s="133" t="str">
        <f t="shared" si="20"/>
        <v/>
      </c>
      <c r="AF73" s="133" t="str">
        <f t="shared" si="20"/>
        <v/>
      </c>
      <c r="AG73" s="133" t="str">
        <f t="shared" si="20"/>
        <v/>
      </c>
      <c r="AH73" s="133" t="str">
        <f t="shared" si="20"/>
        <v/>
      </c>
      <c r="AI73" s="155" t="str">
        <f t="shared" si="20"/>
        <v/>
      </c>
      <c r="AJ73" s="158"/>
      <c r="AK73" s="34"/>
      <c r="AL73" s="34"/>
      <c r="AM73" s="34"/>
      <c r="AN73" s="34"/>
      <c r="AO73" s="34"/>
      <c r="AP73" s="34"/>
      <c r="AQ73" s="34"/>
      <c r="AR73" s="34"/>
    </row>
    <row r="74" spans="1:44" x14ac:dyDescent="0.15">
      <c r="A74" s="7"/>
      <c r="B74" s="7"/>
      <c r="C74" s="7"/>
      <c r="D74" s="7"/>
      <c r="E74" s="7"/>
      <c r="F74" s="7"/>
      <c r="G74" s="7"/>
      <c r="H74" s="7"/>
      <c r="I74" s="7"/>
      <c r="J74" s="144"/>
      <c r="K74" s="13" t="s">
        <v>92</v>
      </c>
      <c r="L74" s="83">
        <f t="shared" ref="L74:Q74" si="22">IF(L76,SQRT(L97*L73^2/CHIINV((1-$D$27/100)/2,L97)),"")</f>
        <v>6.6238190108889068</v>
      </c>
      <c r="M74" s="119" t="str">
        <f t="shared" si="22"/>
        <v/>
      </c>
      <c r="N74" s="119" t="str">
        <f t="shared" si="22"/>
        <v/>
      </c>
      <c r="O74" s="119" t="str">
        <f t="shared" si="22"/>
        <v/>
      </c>
      <c r="P74" s="119" t="str">
        <f t="shared" si="22"/>
        <v/>
      </c>
      <c r="Q74" s="86" t="e">
        <f t="shared" si="22"/>
        <v>#REF!</v>
      </c>
      <c r="R74" s="160"/>
      <c r="S74" s="146"/>
      <c r="T74" s="146"/>
      <c r="U74" s="146"/>
      <c r="V74" s="146"/>
      <c r="W74" s="146"/>
      <c r="X74" s="146"/>
      <c r="Y74" s="146"/>
      <c r="Z74" s="146"/>
      <c r="AA74" s="9"/>
      <c r="AB74" s="129"/>
      <c r="AC74" s="124" t="s">
        <v>105</v>
      </c>
      <c r="AD74" s="125" t="str">
        <f t="shared" si="20"/>
        <v/>
      </c>
      <c r="AE74" s="125" t="str">
        <f t="shared" si="20"/>
        <v/>
      </c>
      <c r="AF74" s="125" t="str">
        <f t="shared" si="20"/>
        <v/>
      </c>
      <c r="AG74" s="125" t="str">
        <f t="shared" si="20"/>
        <v/>
      </c>
      <c r="AH74" s="125" t="str">
        <f t="shared" si="20"/>
        <v/>
      </c>
      <c r="AI74" s="140" t="str">
        <f t="shared" si="20"/>
        <v/>
      </c>
      <c r="AJ74" s="158"/>
    </row>
    <row r="75" spans="1:44" x14ac:dyDescent="0.15">
      <c r="A75" s="7"/>
      <c r="B75" s="7"/>
      <c r="C75" s="7"/>
      <c r="D75" s="7"/>
      <c r="E75" s="7"/>
      <c r="F75" s="7"/>
      <c r="G75" s="7"/>
      <c r="H75" s="7"/>
      <c r="I75" s="7"/>
      <c r="J75" s="144"/>
      <c r="K75" s="13" t="s">
        <v>95</v>
      </c>
      <c r="L75" s="83">
        <f t="shared" ref="L75:Q75" si="23">IF(L76,SQRT(L97*L73^2/CHIINV(1-(1-$D$27/100)/2,L97)),"")</f>
        <v>13.877838268493326</v>
      </c>
      <c r="M75" s="128" t="str">
        <f t="shared" si="23"/>
        <v/>
      </c>
      <c r="N75" s="128" t="str">
        <f t="shared" si="23"/>
        <v/>
      </c>
      <c r="O75" s="128" t="str">
        <f t="shared" si="23"/>
        <v/>
      </c>
      <c r="P75" s="128" t="str">
        <f t="shared" si="23"/>
        <v/>
      </c>
      <c r="Q75" s="86" t="e">
        <f t="shared" si="23"/>
        <v>#REF!</v>
      </c>
      <c r="R75" s="7"/>
      <c r="S75" s="161"/>
      <c r="T75" s="161"/>
      <c r="U75" s="161"/>
      <c r="V75" s="161"/>
      <c r="W75" s="161"/>
      <c r="X75" s="161"/>
      <c r="Y75" s="161"/>
      <c r="Z75" s="161"/>
      <c r="AA75" s="9"/>
      <c r="AB75" s="129"/>
      <c r="AC75" s="18" t="s">
        <v>92</v>
      </c>
      <c r="AD75" s="119" t="str">
        <f t="shared" si="20"/>
        <v/>
      </c>
      <c r="AE75" s="119" t="str">
        <f t="shared" si="20"/>
        <v/>
      </c>
      <c r="AF75" s="119" t="str">
        <f t="shared" si="20"/>
        <v/>
      </c>
      <c r="AG75" s="119" t="str">
        <f t="shared" si="20"/>
        <v/>
      </c>
      <c r="AH75" s="119" t="str">
        <f t="shared" si="20"/>
        <v/>
      </c>
      <c r="AI75" s="150" t="str">
        <f t="shared" si="20"/>
        <v/>
      </c>
      <c r="AJ75" s="9"/>
    </row>
    <row r="76" spans="1:44" s="3" customFormat="1" x14ac:dyDescent="0.15">
      <c r="A76" s="105"/>
      <c r="B76" s="105"/>
      <c r="C76" s="105"/>
      <c r="D76" s="105"/>
      <c r="E76" s="105"/>
      <c r="F76" s="105"/>
      <c r="G76" s="105"/>
      <c r="H76" s="105"/>
      <c r="I76" s="105"/>
      <c r="J76" s="137"/>
      <c r="K76" s="162" t="s">
        <v>106</v>
      </c>
      <c r="L76" s="80">
        <f>IF(AND(D53&gt;0,E53&gt;0),L53-1,0)</f>
        <v>15</v>
      </c>
      <c r="M76" s="80">
        <f>IF(AND(E53&gt;0,F53&gt;0),M53-1,0)</f>
        <v>0</v>
      </c>
      <c r="N76" s="80">
        <f>IF(AND(F53&gt;0,G53&gt;0),N53-1,0)</f>
        <v>0</v>
      </c>
      <c r="O76" s="80">
        <f>IF(AND(G53&gt;0,H53&gt;0),O53-1,0)</f>
        <v>0</v>
      </c>
      <c r="P76" s="80">
        <f>IF(AND(H53&gt;0,I53&gt;0),P53-1,0)</f>
        <v>0</v>
      </c>
      <c r="Q76" s="163">
        <f>IF(COUNTIF(L76:P76,"&gt;0")=1,SUM(L76:P76),(1-0.22*SUM(D53:I53)/(COUNTIF(D53:I53,"&gt;0")*R51))*SUM(L76:P76))</f>
        <v>15</v>
      </c>
      <c r="R76" s="164"/>
      <c r="S76" s="9"/>
      <c r="T76" s="9"/>
      <c r="U76" s="9"/>
      <c r="V76" s="9"/>
      <c r="W76" s="9"/>
      <c r="X76" s="9"/>
      <c r="Y76" s="9"/>
      <c r="Z76" s="9"/>
      <c r="AA76" s="9"/>
      <c r="AB76" s="129"/>
      <c r="AC76" s="18" t="s">
        <v>95</v>
      </c>
      <c r="AD76" s="133" t="str">
        <f t="shared" si="20"/>
        <v/>
      </c>
      <c r="AE76" s="133" t="str">
        <f t="shared" si="20"/>
        <v/>
      </c>
      <c r="AF76" s="133" t="str">
        <f t="shared" si="20"/>
        <v/>
      </c>
      <c r="AG76" s="133" t="str">
        <f t="shared" si="20"/>
        <v/>
      </c>
      <c r="AH76" s="133" t="str">
        <f t="shared" si="20"/>
        <v/>
      </c>
      <c r="AI76" s="155" t="str">
        <f t="shared" si="20"/>
        <v/>
      </c>
      <c r="AJ76" s="9"/>
    </row>
    <row r="77" spans="1:44" x14ac:dyDescent="0.15">
      <c r="A77" s="7"/>
      <c r="B77" s="7"/>
      <c r="C77" s="7"/>
      <c r="D77" s="7"/>
      <c r="E77" s="7"/>
      <c r="F77" s="7"/>
      <c r="G77" s="7"/>
      <c r="H77" s="7"/>
      <c r="I77" s="7"/>
      <c r="J77" s="256" t="s">
        <v>107</v>
      </c>
      <c r="K77" s="257"/>
      <c r="L77" s="165"/>
      <c r="M77" s="165"/>
      <c r="N77" s="165"/>
      <c r="O77" s="165"/>
      <c r="P77" s="165"/>
      <c r="Q77" s="166"/>
      <c r="R77" s="167"/>
      <c r="S77" s="168"/>
      <c r="T77" s="168"/>
      <c r="U77" s="168"/>
      <c r="V77" s="168"/>
      <c r="W77" s="168"/>
      <c r="X77" s="168"/>
      <c r="Y77" s="168"/>
      <c r="Z77" s="168"/>
      <c r="AA77" s="122"/>
      <c r="AB77" s="169"/>
      <c r="AC77" s="170" t="s">
        <v>106</v>
      </c>
      <c r="AD77" s="71">
        <f>AD128</f>
        <v>0</v>
      </c>
      <c r="AE77" s="71">
        <f>AE128</f>
        <v>0</v>
      </c>
      <c r="AF77" s="71">
        <f>AF128</f>
        <v>0</v>
      </c>
      <c r="AG77" s="71">
        <f>AG128</f>
        <v>0</v>
      </c>
      <c r="AH77" s="71">
        <f>AH128</f>
        <v>0</v>
      </c>
      <c r="AI77" s="171" t="str">
        <f>IF(ISERROR(AI128),"",AI128)</f>
        <v/>
      </c>
      <c r="AJ77" s="172"/>
    </row>
    <row r="78" spans="1:44" x14ac:dyDescent="0.15">
      <c r="A78" s="7"/>
      <c r="B78" s="7"/>
      <c r="C78" s="7"/>
      <c r="D78" s="7"/>
      <c r="E78" s="7"/>
      <c r="F78" s="7"/>
      <c r="G78" s="7"/>
      <c r="H78" s="7"/>
      <c r="I78" s="7"/>
      <c r="J78" s="117"/>
      <c r="K78" s="138" t="s">
        <v>89</v>
      </c>
      <c r="L78" s="125">
        <f>IF(L$76*(L92&gt;0),L61/SQRT((SUMPRODUCT(D$52:E$52,D$52:E$52,D$55:E$55)/SUM(D$55:E$55))-L65^2),"")</f>
        <v>0.21519287302346782</v>
      </c>
      <c r="M78" s="125" t="str">
        <f>IF(M$76*(M92&gt;0),M61/SQRT((SUMPRODUCT(E$52:F$52,E$52:F$52,E$55:F$55)/SUM(E$55:F$55))-M65^2),"")</f>
        <v/>
      </c>
      <c r="N78" s="125" t="str">
        <f>IF(N$76*(N92&gt;0),N61/SQRT((SUMPRODUCT(F$52:G$52,F$52:G$52,F$55:G$55)/SUM(F$55:G$55))-N65^2),"")</f>
        <v/>
      </c>
      <c r="O78" s="125" t="str">
        <f>IF(O$76*(O92&gt;0),O61/SQRT((SUMPRODUCT(G$52:H$52,G$52:H$52,G$55:H$55)/SUM(G$55:H$55))-O65^2),"")</f>
        <v/>
      </c>
      <c r="P78" s="125" t="str">
        <f>IF(P$76*(P92&gt;0),P61/SQRT((SUMPRODUCT(H$52:I$52,H$52:I$52,H$55:I$55)/SUM(H$55:I$55))-P65^2),"")</f>
        <v/>
      </c>
      <c r="Q78" s="173"/>
      <c r="R78" s="112"/>
      <c r="S78" s="174"/>
      <c r="T78" s="174"/>
      <c r="U78" s="174"/>
      <c r="V78" s="174"/>
      <c r="W78" s="174"/>
      <c r="X78" s="174"/>
      <c r="Y78" s="174"/>
      <c r="Z78" s="174"/>
      <c r="AA78" s="9"/>
      <c r="AB78" s="175" t="s">
        <v>108</v>
      </c>
      <c r="AC78" s="176"/>
      <c r="AD78" s="177"/>
      <c r="AE78" s="177"/>
      <c r="AF78" s="177"/>
      <c r="AG78" s="177"/>
      <c r="AH78" s="177"/>
      <c r="AI78" s="178"/>
      <c r="AJ78" s="179"/>
    </row>
    <row r="79" spans="1:44" x14ac:dyDescent="0.15">
      <c r="A79" s="7"/>
      <c r="B79" s="7"/>
      <c r="C79" s="7"/>
      <c r="D79" s="7"/>
      <c r="E79" s="7"/>
      <c r="F79" s="7"/>
      <c r="G79" s="7"/>
      <c r="H79" s="7"/>
      <c r="I79" s="7"/>
      <c r="J79" s="117"/>
      <c r="K79" s="13" t="s">
        <v>92</v>
      </c>
      <c r="L79" s="119">
        <f>IF(L$76*(L92&gt;0),L62/SQRT((SUMPRODUCT(D$52:E$52,D$52:E$52,D$55:E$55)/SUM(D$55:E$55))-L65^2),"")</f>
        <v>0.16376384771625063</v>
      </c>
      <c r="M79" s="119" t="str">
        <f>IF(M$76*(M92&gt;0),M62/SQRT((SUMPRODUCT(E$52:F$52,E$52:F$52,E$55:F$55)/SUM(E$55:F$55))-M65^2),"")</f>
        <v/>
      </c>
      <c r="N79" s="119" t="str">
        <f>IF(N$76*(N92&gt;0),N62/SQRT((SUMPRODUCT(F$52:G$52,F$52:G$52,F$55:G$55)/SUM(F$55:G$55))-N65^2),"")</f>
        <v/>
      </c>
      <c r="O79" s="119" t="str">
        <f>IF(O$76*(O92&gt;0),O62/SQRT((SUMPRODUCT(G$52:H$52,G$52:H$52,G$55:H$55)/SUM(G$55:H$55))-O65^2),"")</f>
        <v/>
      </c>
      <c r="P79" s="119" t="str">
        <f>IF(P$76*(P92&gt;0),P62/SQRT((SUMPRODUCT(H$52:I$52,H$52:I$52,H$55:I$55)/SUM(H$55:I$55))-P65^2),"")</f>
        <v/>
      </c>
      <c r="Q79" s="180"/>
      <c r="R79" s="132"/>
      <c r="S79" s="120"/>
      <c r="T79" s="120"/>
      <c r="U79" s="120"/>
      <c r="V79" s="120"/>
      <c r="W79" s="120"/>
      <c r="X79" s="120"/>
      <c r="Y79" s="120"/>
      <c r="Z79" s="120"/>
      <c r="AA79" s="9"/>
      <c r="AB79" s="123"/>
      <c r="AC79" s="124" t="s">
        <v>80</v>
      </c>
      <c r="AD79" s="181" t="str">
        <f t="shared" ref="AD79:AH81" si="24">IF(ISNUMBER(AD115),100*EXP(AD115/100)-100,"")</f>
        <v/>
      </c>
      <c r="AE79" s="181" t="str">
        <f t="shared" si="24"/>
        <v/>
      </c>
      <c r="AF79" s="181" t="str">
        <f t="shared" si="24"/>
        <v/>
      </c>
      <c r="AG79" s="181" t="str">
        <f t="shared" si="24"/>
        <v/>
      </c>
      <c r="AH79" s="181" t="str">
        <f t="shared" si="24"/>
        <v/>
      </c>
      <c r="AI79" s="182"/>
      <c r="AJ79" s="120"/>
    </row>
    <row r="80" spans="1:44" x14ac:dyDescent="0.15">
      <c r="A80" s="7"/>
      <c r="B80" s="7"/>
      <c r="C80" s="7"/>
      <c r="D80" s="7"/>
      <c r="E80" s="7"/>
      <c r="F80" s="7"/>
      <c r="G80" s="7"/>
      <c r="H80" s="7"/>
      <c r="I80" s="7"/>
      <c r="J80" s="117"/>
      <c r="K80" s="13" t="s">
        <v>95</v>
      </c>
      <c r="L80" s="133">
        <f>IF(L$76*(L92&gt;0),L63/SQRT((SUMPRODUCT(D$52:E$52,D$52:E$52,D$55:E$55)/SUM(D$55:E$55))-L65^2),"")</f>
        <v>0.266621898330685</v>
      </c>
      <c r="M80" s="133" t="str">
        <f>IF(M$76*(M92&gt;0),M63/SQRT((SUMPRODUCT(E$52:F$52,E$52:F$52,E$55:F$55)/SUM(E$55:F$55))-M65^2),"")</f>
        <v/>
      </c>
      <c r="N80" s="133" t="str">
        <f>IF(N$76*(N92&gt;0),N63/SQRT((SUMPRODUCT(F$52:G$52,F$52:G$52,F$55:G$55)/SUM(F$55:G$55))-N65^2),"")</f>
        <v/>
      </c>
      <c r="O80" s="133" t="str">
        <f>IF(O$76*(O92&gt;0),O63/SQRT((SUMPRODUCT(G$52:H$52,G$52:H$52,G$55:H$55)/SUM(G$55:H$55))-O65^2),"")</f>
        <v/>
      </c>
      <c r="P80" s="133" t="str">
        <f>IF(P$76*(P92&gt;0),P63/SQRT((SUMPRODUCT(H$52:I$52,H$52:I$52,H$55:I$55)/SUM(H$55:I$55))-P65^2),"")</f>
        <v/>
      </c>
      <c r="Q80" s="183"/>
      <c r="R80" s="141"/>
      <c r="S80" s="142"/>
      <c r="T80" s="142"/>
      <c r="U80" s="142"/>
      <c r="V80" s="142"/>
      <c r="W80" s="142"/>
      <c r="X80" s="142"/>
      <c r="Y80" s="142"/>
      <c r="Z80" s="142"/>
      <c r="AA80" s="9"/>
      <c r="AB80" s="129"/>
      <c r="AC80" s="18" t="s">
        <v>92</v>
      </c>
      <c r="AD80" s="184" t="str">
        <f t="shared" si="24"/>
        <v/>
      </c>
      <c r="AE80" s="184" t="str">
        <f t="shared" si="24"/>
        <v/>
      </c>
      <c r="AF80" s="184" t="str">
        <f t="shared" si="24"/>
        <v/>
      </c>
      <c r="AG80" s="184" t="str">
        <f t="shared" si="24"/>
        <v/>
      </c>
      <c r="AH80" s="184" t="str">
        <f t="shared" si="24"/>
        <v/>
      </c>
      <c r="AI80" s="185"/>
      <c r="AJ80" s="142"/>
    </row>
    <row r="81" spans="1:44" x14ac:dyDescent="0.15">
      <c r="A81" s="7"/>
      <c r="B81" s="7"/>
      <c r="C81" s="7"/>
      <c r="D81" s="7"/>
      <c r="E81" s="7"/>
      <c r="F81" s="7"/>
      <c r="G81" s="7"/>
      <c r="H81" s="7"/>
      <c r="I81" s="7"/>
      <c r="J81" s="117"/>
      <c r="K81" s="13" t="s">
        <v>96</v>
      </c>
      <c r="L81" s="83">
        <f>IF(ISNUMBER(L78),(L80-L79)/2,"")</f>
        <v>5.1429025307217185E-2</v>
      </c>
      <c r="M81" s="83" t="str">
        <f>IF(ISNUMBER(M78),(M80-M79)/2,"")</f>
        <v/>
      </c>
      <c r="N81" s="83" t="str">
        <f>IF(ISNUMBER(N78),(N80-N79)/2,"")</f>
        <v/>
      </c>
      <c r="O81" s="83" t="str">
        <f>IF(ISNUMBER(O78),(O80-O79)/2,"")</f>
        <v/>
      </c>
      <c r="P81" s="83" t="str">
        <f>IF(ISNUMBER(P78),(P80-P79)/2,"")</f>
        <v/>
      </c>
      <c r="Q81" s="183"/>
      <c r="R81" s="160"/>
      <c r="S81" s="146"/>
      <c r="T81" s="146"/>
      <c r="U81" s="146"/>
      <c r="V81" s="146"/>
      <c r="W81" s="146"/>
      <c r="X81" s="146"/>
      <c r="Y81" s="146"/>
      <c r="Z81" s="146"/>
      <c r="AA81" s="9"/>
      <c r="AB81" s="129"/>
      <c r="AC81" s="18" t="s">
        <v>95</v>
      </c>
      <c r="AD81" s="186" t="str">
        <f t="shared" si="24"/>
        <v/>
      </c>
      <c r="AE81" s="186" t="str">
        <f t="shared" si="24"/>
        <v/>
      </c>
      <c r="AF81" s="186" t="str">
        <f t="shared" si="24"/>
        <v/>
      </c>
      <c r="AG81" s="186" t="str">
        <f t="shared" si="24"/>
        <v/>
      </c>
      <c r="AH81" s="186" t="str">
        <f t="shared" si="24"/>
        <v/>
      </c>
      <c r="AI81" s="187"/>
      <c r="AJ81" s="146"/>
    </row>
    <row r="82" spans="1:44" x14ac:dyDescent="0.15">
      <c r="A82" s="7"/>
      <c r="B82" s="7"/>
      <c r="C82" s="7"/>
      <c r="D82" s="7"/>
      <c r="E82" s="7"/>
      <c r="F82" s="7"/>
      <c r="G82" s="7"/>
      <c r="H82" s="7"/>
      <c r="I82" s="7"/>
      <c r="J82" s="117"/>
      <c r="K82" s="138" t="s">
        <v>97</v>
      </c>
      <c r="L82" s="125">
        <f>IF(L$76*(L92&gt;0),L65/SQRT((SUMPRODUCT(D$52:E$52,D$52:E$52,D$55:E$55)/SUM(D$55:E$55))-L65^2),"")</f>
        <v>6.8246161623304519E-2</v>
      </c>
      <c r="M82" s="125" t="str">
        <f>IF(M$76*(M92&gt;0),M65/SQRT((SUMPRODUCT(E$52:F$52,E$52:F$52,E$55:F$55)/SUM(E$55:F$55))-M65^2),"")</f>
        <v/>
      </c>
      <c r="N82" s="125" t="str">
        <f>IF(N$76*(N92&gt;0),N65/SQRT((SUMPRODUCT(F$52:G$52,F$52:G$52,F$55:G$55)/SUM(F$55:G$55))-N65^2),"")</f>
        <v/>
      </c>
      <c r="O82" s="125" t="str">
        <f>IF(O$76*(O92&gt;0),O65/SQRT((SUMPRODUCT(G$52:H$52,G$52:H$52,G$55:H$55)/SUM(G$55:H$55))-O65^2),"")</f>
        <v/>
      </c>
      <c r="P82" s="125" t="str">
        <f>IF(P$76*(P92&gt;0),P65/SQRT((SUMPRODUCT(H$52:I$52,H$52:I$52,H$55:I$55)/SUM(H$55:I$55))-P65^2),"")</f>
        <v/>
      </c>
      <c r="Q82" s="140">
        <f>IF(Q$76,Q65/SQRT(J$52^2),"")</f>
        <v>6.8087785077508289E-2</v>
      </c>
      <c r="R82" s="188"/>
      <c r="S82" s="161"/>
      <c r="T82" s="161"/>
      <c r="U82" s="161"/>
      <c r="V82" s="161"/>
      <c r="W82" s="161"/>
      <c r="X82" s="161"/>
      <c r="Y82" s="161"/>
      <c r="Z82" s="161"/>
      <c r="AA82" s="9"/>
      <c r="AB82" s="129"/>
      <c r="AC82" s="18" t="s">
        <v>109</v>
      </c>
      <c r="AD82" s="60" t="str">
        <f>IF(ISNUMBER(AD79),(AD81-AD80)/2,"")</f>
        <v/>
      </c>
      <c r="AE82" s="60" t="str">
        <f>IF(ISNUMBER(AE79),(AE81-AE80)/2,"")</f>
        <v/>
      </c>
      <c r="AF82" s="60" t="str">
        <f>IF(ISNUMBER(AF79),(AF81-AF80)/2,"")</f>
        <v/>
      </c>
      <c r="AG82" s="60" t="str">
        <f>IF(ISNUMBER(AG79),(AG81-AG80)/2,"")</f>
        <v/>
      </c>
      <c r="AH82" s="60" t="str">
        <f>IF(ISNUMBER(AH79),(AH81-AH80)/2,"")</f>
        <v/>
      </c>
      <c r="AI82" s="187"/>
      <c r="AJ82" s="161"/>
    </row>
    <row r="83" spans="1:44" x14ac:dyDescent="0.15">
      <c r="A83" s="7"/>
      <c r="B83" s="7"/>
      <c r="C83" s="7"/>
      <c r="D83" s="7"/>
      <c r="E83" s="7"/>
      <c r="F83" s="7"/>
      <c r="G83" s="7"/>
      <c r="H83" s="7"/>
      <c r="I83" s="7"/>
      <c r="J83" s="117"/>
      <c r="K83" s="13" t="s">
        <v>92</v>
      </c>
      <c r="L83" s="119">
        <f>IF(L$76*(L92&gt;0),L66/SQRT((SUMPRODUCT(D$52:E$52,D$52:E$52,D$55:E$55)/SUM(D$55:E$55))-L65^2),"")</f>
        <v>5.0413771113963592E-2</v>
      </c>
      <c r="M83" s="119" t="str">
        <f>IF(M$76*(M92&gt;0),M66/SQRT((SUMPRODUCT(E$52:F$52,E$52:F$52,E$55:F$55)/SUM(E$55:F$55))-M65^2),"")</f>
        <v/>
      </c>
      <c r="N83" s="119" t="str">
        <f>IF(N$76*(N92&gt;0),N66/SQRT((SUMPRODUCT(F$52:G$52,F$52:G$52,F$55:G$55)/SUM(F$55:G$55))-N65^2),"")</f>
        <v/>
      </c>
      <c r="O83" s="119" t="str">
        <f>IF(O$76*(O92&gt;0),O66/SQRT((SUMPRODUCT(G$52:H$52,G$52:H$52,G$55:H$55)/SUM(G$55:H$55))-O65^2),"")</f>
        <v/>
      </c>
      <c r="P83" s="119" t="str">
        <f>IF(P$76*(P92&gt;0),P66/SQRT((SUMPRODUCT(H$52:I$52,H$52:I$52,H$55:I$55)/SUM(H$55:I$55))-P65^2),"")</f>
        <v/>
      </c>
      <c r="Q83" s="150">
        <f>IF(Q$76,Q66/SQRT(J$52^2),"")</f>
        <v>5.0296777590230171E-2</v>
      </c>
      <c r="R83" s="188"/>
      <c r="S83" s="189"/>
      <c r="T83" s="189"/>
      <c r="U83" s="189"/>
      <c r="V83" s="189"/>
      <c r="W83" s="189"/>
      <c r="X83" s="189"/>
      <c r="Y83" s="189"/>
      <c r="Z83" s="189"/>
      <c r="AA83" s="9"/>
      <c r="AB83" s="123"/>
      <c r="AC83" s="124" t="s">
        <v>110</v>
      </c>
      <c r="AD83" s="181" t="str">
        <f t="shared" ref="AD83:AH85" si="25">IF(ISNUMBER(AD118),100*EXP(AD118/100)-100,"")</f>
        <v/>
      </c>
      <c r="AE83" s="181" t="str">
        <f t="shared" si="25"/>
        <v/>
      </c>
      <c r="AF83" s="181" t="str">
        <f t="shared" si="25"/>
        <v/>
      </c>
      <c r="AG83" s="181" t="str">
        <f t="shared" si="25"/>
        <v/>
      </c>
      <c r="AH83" s="181" t="str">
        <f t="shared" si="25"/>
        <v/>
      </c>
      <c r="AI83" s="61" t="str">
        <f>IF(ISNUMBER(AI77),100*EXP(AI118/100)-100,"")</f>
        <v/>
      </c>
      <c r="AJ83" s="189"/>
    </row>
    <row r="84" spans="1:44" x14ac:dyDescent="0.15">
      <c r="A84" s="7"/>
      <c r="B84" s="7"/>
      <c r="C84" s="7"/>
      <c r="D84" s="7"/>
      <c r="E84" s="7"/>
      <c r="F84" s="7"/>
      <c r="G84" s="7"/>
      <c r="H84" s="7"/>
      <c r="I84" s="7"/>
      <c r="J84" s="117"/>
      <c r="K84" s="13" t="s">
        <v>95</v>
      </c>
      <c r="L84" s="133">
        <f>IF(L$76*(L92&gt;0),L67/SQRT((SUMPRODUCT(D$52:E$52,D$52:E$52,D$55:E$55)/SUM(D$55:E$55))-L65^2),"")</f>
        <v>0.10562398532844838</v>
      </c>
      <c r="M84" s="133" t="str">
        <f>IF(M$76*(M92&gt;0),M67/SQRT((SUMPRODUCT(E$52:F$52,E$52:F$52,E$55:F$55)/SUM(E$55:F$55))-M65^2),"")</f>
        <v/>
      </c>
      <c r="N84" s="133" t="str">
        <f>IF(N$76*(N92&gt;0),N67/SQRT((SUMPRODUCT(F$52:G$52,F$52:G$52,F$55:G$55)/SUM(F$55:G$55))-N65^2),"")</f>
        <v/>
      </c>
      <c r="O84" s="133" t="str">
        <f>IF(O$76*(O92&gt;0),O67/SQRT((SUMPRODUCT(G$52:H$52,G$52:H$52,G$55:H$55)/SUM(G$55:H$55))-O65^2),"")</f>
        <v/>
      </c>
      <c r="P84" s="133" t="str">
        <f>IF(P$76*(P92&gt;0),P67/SQRT((SUMPRODUCT(H$52:I$52,H$52:I$52,H$55:I$55)/SUM(H$55:I$55))-P65^2),"")</f>
        <v/>
      </c>
      <c r="Q84" s="155">
        <f>IF(Q$76,Q67/SQRT(J$52^2),"")</f>
        <v>0.10537886733863548</v>
      </c>
      <c r="R84" s="190"/>
      <c r="S84" s="189"/>
      <c r="T84" s="189"/>
      <c r="U84" s="189"/>
      <c r="V84" s="189"/>
      <c r="W84" s="189"/>
      <c r="X84" s="189"/>
      <c r="Y84" s="189"/>
      <c r="Z84" s="189"/>
      <c r="AA84" s="9"/>
      <c r="AB84" s="129"/>
      <c r="AC84" s="18" t="s">
        <v>92</v>
      </c>
      <c r="AD84" s="184" t="str">
        <f t="shared" si="25"/>
        <v/>
      </c>
      <c r="AE84" s="184" t="str">
        <f t="shared" si="25"/>
        <v/>
      </c>
      <c r="AF84" s="184" t="str">
        <f t="shared" si="25"/>
        <v/>
      </c>
      <c r="AG84" s="184" t="str">
        <f t="shared" si="25"/>
        <v/>
      </c>
      <c r="AH84" s="184" t="str">
        <f t="shared" si="25"/>
        <v/>
      </c>
      <c r="AI84" s="191" t="str">
        <f>IF(ISNUMBER(AI77),100*EXP(AI119/100)-100,"")</f>
        <v/>
      </c>
      <c r="AJ84" s="189"/>
      <c r="AK84" s="192"/>
      <c r="AL84" s="193"/>
      <c r="AM84" s="194"/>
      <c r="AN84" s="194"/>
      <c r="AO84" s="194"/>
      <c r="AP84" s="194"/>
      <c r="AQ84" s="194"/>
      <c r="AR84" s="192"/>
    </row>
    <row r="85" spans="1:44" x14ac:dyDescent="0.15">
      <c r="A85" s="7"/>
      <c r="B85" s="7"/>
      <c r="C85" s="7"/>
      <c r="D85" s="7"/>
      <c r="E85" s="7"/>
      <c r="F85" s="7"/>
      <c r="G85" s="7"/>
      <c r="H85" s="7"/>
      <c r="I85" s="7"/>
      <c r="J85" s="117"/>
      <c r="K85" s="152" t="s">
        <v>100</v>
      </c>
      <c r="L85" s="83">
        <f t="shared" ref="L85:Q85" si="26">IF(ISNUMBER(L82),SQRT(L84/L83),"")</f>
        <v>1.4474603710322742</v>
      </c>
      <c r="M85" s="83" t="str">
        <f t="shared" si="26"/>
        <v/>
      </c>
      <c r="N85" s="83" t="str">
        <f t="shared" si="26"/>
        <v/>
      </c>
      <c r="O85" s="83" t="str">
        <f t="shared" si="26"/>
        <v/>
      </c>
      <c r="P85" s="83" t="str">
        <f t="shared" si="26"/>
        <v/>
      </c>
      <c r="Q85" s="86">
        <f t="shared" si="26"/>
        <v>1.4474603710322742</v>
      </c>
      <c r="R85" s="190"/>
      <c r="S85" s="48"/>
      <c r="T85" s="48"/>
      <c r="U85" s="48"/>
      <c r="V85" s="48"/>
      <c r="W85" s="48"/>
      <c r="X85" s="48"/>
      <c r="Y85" s="48"/>
      <c r="Z85" s="48"/>
      <c r="AA85" s="9"/>
      <c r="AB85" s="129"/>
      <c r="AC85" s="18" t="s">
        <v>95</v>
      </c>
      <c r="AD85" s="186" t="str">
        <f t="shared" si="25"/>
        <v/>
      </c>
      <c r="AE85" s="186" t="str">
        <f t="shared" si="25"/>
        <v/>
      </c>
      <c r="AF85" s="186" t="str">
        <f t="shared" si="25"/>
        <v/>
      </c>
      <c r="AG85" s="186" t="str">
        <f t="shared" si="25"/>
        <v/>
      </c>
      <c r="AH85" s="186" t="str">
        <f t="shared" si="25"/>
        <v/>
      </c>
      <c r="AI85" s="195" t="str">
        <f>IF(ISNUMBER(AI77),100*EXP(AI120/100)-100,"")</f>
        <v/>
      </c>
      <c r="AJ85" s="48"/>
      <c r="AK85" s="192"/>
      <c r="AL85" s="193"/>
      <c r="AM85" s="194"/>
      <c r="AN85" s="194"/>
      <c r="AO85" s="194"/>
      <c r="AP85" s="194"/>
      <c r="AQ85" s="194"/>
      <c r="AR85" s="192"/>
    </row>
    <row r="86" spans="1:44" x14ac:dyDescent="0.15">
      <c r="A86" s="7"/>
      <c r="B86" s="7"/>
      <c r="C86" s="7"/>
      <c r="D86" s="7"/>
      <c r="E86" s="7"/>
      <c r="F86" s="7"/>
      <c r="G86" s="7"/>
      <c r="H86" s="7"/>
      <c r="I86" s="7"/>
      <c r="J86" s="196"/>
      <c r="K86" s="13" t="s">
        <v>102</v>
      </c>
      <c r="L86" s="83">
        <f t="shared" ref="L86:Q86" si="27">L69</f>
        <v>1.0166666666666666</v>
      </c>
      <c r="M86" s="83" t="str">
        <f t="shared" si="27"/>
        <v/>
      </c>
      <c r="N86" s="83" t="str">
        <f t="shared" si="27"/>
        <v/>
      </c>
      <c r="O86" s="83" t="str">
        <f t="shared" si="27"/>
        <v/>
      </c>
      <c r="P86" s="83" t="str">
        <f t="shared" si="27"/>
        <v/>
      </c>
      <c r="Q86" s="86">
        <f t="shared" si="27"/>
        <v>1.0166666666666666</v>
      </c>
      <c r="R86" s="188"/>
      <c r="S86" s="48"/>
      <c r="T86" s="48"/>
      <c r="U86" s="48"/>
      <c r="V86" s="48"/>
      <c r="W86" s="48"/>
      <c r="X86" s="48"/>
      <c r="Y86" s="48"/>
      <c r="Z86" s="48"/>
      <c r="AA86" s="9"/>
      <c r="AB86" s="129"/>
      <c r="AC86" s="157" t="s">
        <v>100</v>
      </c>
      <c r="AD86" s="83" t="str">
        <f t="shared" ref="AD86:AI86" si="28">IF(ISNUMBER(AD84),SQRT(AD85/AD84),"")</f>
        <v/>
      </c>
      <c r="AE86" s="83" t="str">
        <f t="shared" si="28"/>
        <v/>
      </c>
      <c r="AF86" s="83" t="str">
        <f t="shared" si="28"/>
        <v/>
      </c>
      <c r="AG86" s="83" t="str">
        <f t="shared" si="28"/>
        <v/>
      </c>
      <c r="AH86" s="83" t="str">
        <f t="shared" si="28"/>
        <v/>
      </c>
      <c r="AI86" s="86" t="str">
        <f t="shared" si="28"/>
        <v/>
      </c>
      <c r="AJ86" s="48"/>
      <c r="AK86" s="192"/>
      <c r="AL86" s="193"/>
      <c r="AM86" s="194"/>
      <c r="AN86" s="194"/>
      <c r="AO86" s="194"/>
      <c r="AP86" s="194"/>
      <c r="AQ86" s="194"/>
      <c r="AR86" s="192"/>
    </row>
    <row r="87" spans="1:44" x14ac:dyDescent="0.15">
      <c r="A87" s="7"/>
      <c r="B87" s="7"/>
      <c r="C87" s="7"/>
      <c r="D87" s="7"/>
      <c r="E87" s="7"/>
      <c r="F87" s="7"/>
      <c r="G87" s="7"/>
      <c r="H87" s="7"/>
      <c r="I87" s="7"/>
      <c r="J87" s="197" t="s">
        <v>111</v>
      </c>
      <c r="K87" s="165"/>
      <c r="L87" s="198"/>
      <c r="M87" s="198"/>
      <c r="N87" s="198"/>
      <c r="O87" s="198"/>
      <c r="P87" s="198"/>
      <c r="Q87" s="199"/>
      <c r="R87" s="188"/>
      <c r="S87" s="189"/>
      <c r="T87" s="189"/>
      <c r="U87" s="189"/>
      <c r="V87" s="189"/>
      <c r="W87" s="189"/>
      <c r="X87" s="189"/>
      <c r="Y87" s="189"/>
      <c r="Z87" s="189"/>
      <c r="AA87" s="9"/>
      <c r="AB87" s="129"/>
      <c r="AC87" s="18" t="s">
        <v>102</v>
      </c>
      <c r="AD87" s="83" t="str">
        <f t="shared" ref="AD87:AI87" si="29">IF(ISNUMBER(AD66),(100*AD66^AD121-100)/(100*AD66-100),"")</f>
        <v/>
      </c>
      <c r="AE87" s="83" t="str">
        <f t="shared" si="29"/>
        <v/>
      </c>
      <c r="AF87" s="83" t="str">
        <f t="shared" si="29"/>
        <v/>
      </c>
      <c r="AG87" s="83" t="str">
        <f t="shared" si="29"/>
        <v/>
      </c>
      <c r="AH87" s="83" t="str">
        <f t="shared" si="29"/>
        <v/>
      </c>
      <c r="AI87" s="86" t="str">
        <f t="shared" si="29"/>
        <v/>
      </c>
      <c r="AJ87" s="189"/>
      <c r="AK87" s="192"/>
      <c r="AL87" s="193"/>
    </row>
    <row r="88" spans="1:44" x14ac:dyDescent="0.15">
      <c r="A88" s="7"/>
      <c r="B88" s="7"/>
      <c r="C88" s="7"/>
      <c r="D88" s="7"/>
      <c r="E88" s="200"/>
      <c r="F88" s="200"/>
      <c r="G88" s="200"/>
      <c r="H88" s="200"/>
      <c r="I88" s="7"/>
      <c r="J88" s="201"/>
      <c r="K88" s="138" t="s">
        <v>112</v>
      </c>
      <c r="L88" s="125">
        <f>IF(L76&gt;1,CORREL(D35:D50,E35:E50)*(1+(1-CORREL(D35:D50,E35:E50)^2)/2/(L53-3)),"")</f>
        <v>0.98841448677266797</v>
      </c>
      <c r="M88" s="125" t="str">
        <f>IF(M76&gt;1,CORREL(#REF!,#REF!)*(1+(1-CORREL(#REF!,#REF!)^2)/2/(M53-3)),"")</f>
        <v/>
      </c>
      <c r="N88" s="125" t="str">
        <f>IF(N76&gt;1,CORREL(#REF!,#REF!)*(1+(1-CORREL(#REF!,#REF!)^2)/2/(N53-3)),"")</f>
        <v/>
      </c>
      <c r="O88" s="125" t="str">
        <f>IF(O76&gt;1,CORREL(#REF!,#REF!)*(1+(1-CORREL(#REF!,#REF!)^2)/2/(O53-3)),"")</f>
        <v/>
      </c>
      <c r="P88" s="125" t="str">
        <f>IF(P76&gt;1,CORREL(#REF!,#REF!)*(1+(1-CORREL(#REF!,#REF!)^2)/2/(P53-3)),"")</f>
        <v/>
      </c>
      <c r="Q88" s="140">
        <f>FISHERINV(Q101)</f>
        <v>0.98841448677266797</v>
      </c>
      <c r="R88" s="202"/>
      <c r="S88" s="189"/>
      <c r="T88" s="189"/>
      <c r="U88" s="189"/>
      <c r="V88" s="189"/>
      <c r="W88" s="189"/>
      <c r="X88" s="189"/>
      <c r="Y88" s="189"/>
      <c r="Z88" s="189"/>
      <c r="AA88" s="9"/>
      <c r="AB88" s="129"/>
      <c r="AC88" s="124" t="s">
        <v>103</v>
      </c>
      <c r="AD88" s="181" t="str">
        <f t="shared" ref="AD88:AI93" si="30">IF(ISNUMBER(AD122),100*EXP(AD122/100)-100,"")</f>
        <v/>
      </c>
      <c r="AE88" s="181" t="str">
        <f t="shared" si="30"/>
        <v/>
      </c>
      <c r="AF88" s="181" t="str">
        <f t="shared" si="30"/>
        <v/>
      </c>
      <c r="AG88" s="181" t="str">
        <f t="shared" si="30"/>
        <v/>
      </c>
      <c r="AH88" s="181" t="str">
        <f t="shared" si="30"/>
        <v/>
      </c>
      <c r="AI88" s="181" t="str">
        <f t="shared" si="30"/>
        <v/>
      </c>
      <c r="AJ88" s="189"/>
    </row>
    <row r="89" spans="1:44" ht="14" x14ac:dyDescent="0.15">
      <c r="A89" s="7"/>
      <c r="B89" s="7"/>
      <c r="C89" s="7"/>
      <c r="D89" s="7"/>
      <c r="E89" s="7"/>
      <c r="F89" s="7"/>
      <c r="G89" s="7"/>
      <c r="H89" s="7"/>
      <c r="I89" s="7"/>
      <c r="J89" s="117"/>
      <c r="K89" s="13" t="s">
        <v>92</v>
      </c>
      <c r="L89" s="83">
        <f>IF(L76&gt;2,(EXP(2*(0.5*LN((1+L88)/(1-L88))-NORMINV(1-(1-$D$27/100)/2,0,1)/SQRT(COUNT(L35:L50)-3)))-1)/(EXP(2*(0.5*LN((1+L88)/(1-L88))-NORMINV(1-(1-$D$27/100)/2,0,1)/SQRT(COUNT(L35:L50)-3)))+1),"")</f>
        <v>0.96602503133818551</v>
      </c>
      <c r="M89" s="119" t="str">
        <f>IF(M76&gt;2,(EXP(2*(0.5*LN((1+M88)/(1-M88))-NORMINV(1-(1-$D$27/100)/2,0,1)/SQRT(COUNT(#REF!)-3)))-1)/(EXP(2*(0.5*LN((1+M88)/(1-M88))-NORMINV(1-(1-$D$27/100)/2,0,1)/SQRT(COUNT(#REF!)-3)))+1),"")</f>
        <v/>
      </c>
      <c r="N89" s="119" t="str">
        <f>IF(N76&gt;2,(EXP(2*(0.5*LN((1+N88)/(1-N88))-NORMINV(1-(1-$D$27/100)/2,0,1)/SQRT(COUNT(#REF!)-3)))-1)/(EXP(2*(0.5*LN((1+N88)/(1-N88))-NORMINV(1-(1-$D$27/100)/2,0,1)/SQRT(COUNT(#REF!)-3)))+1),"")</f>
        <v/>
      </c>
      <c r="O89" s="119" t="str">
        <f>IF(O76&gt;2,(EXP(2*(0.5*LN((1+O88)/(1-O88))-NORMINV(1-(1-$D$27/100)/2,0,1)/SQRT(COUNT(#REF!)-3)))-1)/(EXP(2*(0.5*LN((1+O88)/(1-O88))-NORMINV(1-(1-$D$27/100)/2,0,1)/SQRT(COUNT(#REF!)-3)))+1),"")</f>
        <v/>
      </c>
      <c r="P89" s="119" t="str">
        <f>IF(P76&gt;2,(EXP(2*(0.5*LN((1+P88)/(1-P88))-NORMINV(1-(1-$D$27/100)/2,0,1)/SQRT(COUNT(#REF!)-3)))-1)/(EXP(2*(0.5*LN((1+P88)/(1-P88))-NORMINV(1-(1-$D$27/100)/2,0,1)/SQRT(COUNT(#REF!)-3)))+1),"")</f>
        <v/>
      </c>
      <c r="Q89" s="180"/>
      <c r="R89" s="7"/>
      <c r="S89" s="203"/>
      <c r="T89" s="203"/>
      <c r="U89" s="64"/>
      <c r="V89" s="204"/>
      <c r="W89" s="205"/>
      <c r="X89" s="205"/>
      <c r="Y89" s="205"/>
      <c r="Z89" s="205"/>
      <c r="AA89" s="205"/>
      <c r="AB89" s="129"/>
      <c r="AC89" s="18" t="s">
        <v>92</v>
      </c>
      <c r="AD89" s="184" t="str">
        <f t="shared" si="30"/>
        <v/>
      </c>
      <c r="AE89" s="184" t="str">
        <f t="shared" si="30"/>
        <v/>
      </c>
      <c r="AF89" s="184" t="str">
        <f t="shared" si="30"/>
        <v/>
      </c>
      <c r="AG89" s="184" t="str">
        <f t="shared" si="30"/>
        <v/>
      </c>
      <c r="AH89" s="184" t="str">
        <f t="shared" si="30"/>
        <v/>
      </c>
      <c r="AI89" s="184" t="str">
        <f t="shared" si="30"/>
        <v/>
      </c>
      <c r="AJ89" s="206"/>
    </row>
    <row r="90" spans="1:44" ht="14" x14ac:dyDescent="0.15">
      <c r="A90" s="7"/>
      <c r="B90" s="7"/>
      <c r="C90" s="7"/>
      <c r="D90" s="7"/>
      <c r="E90" s="7"/>
      <c r="F90" s="7"/>
      <c r="G90" s="7"/>
      <c r="H90" s="7"/>
      <c r="I90" s="7"/>
      <c r="J90" s="117"/>
      <c r="K90" s="13" t="s">
        <v>95</v>
      </c>
      <c r="L90" s="83">
        <f>IF(L76&gt;2,(EXP(2*(0.5*LN((1+L88)/(1-L88))+NORMINV(1-(1-$D$27/100)/2,0,1)/SQRT(COUNT(L35:L50)-3)))-1)/(EXP(2*(0.5*LN((1+L88)/(1-L88))+NORMINV(1-(1-$D$27/100)/2,0,1)/SQRT(COUNT(L35:L50)-3)))+1),"")</f>
        <v>0.99607875148423064</v>
      </c>
      <c r="M90" s="128" t="str">
        <f>IF(M76&gt;2,(EXP(2*(0.5*LN((1+M88)/(1-M88))+NORMINV(1-(1-$D$27/100)/2,0,1)/SQRT(COUNT(#REF!)-3)))-1)/(EXP(2*(0.5*LN((1+M88)/(1-M88))+NORMINV(1-(1-$D$27/100)/2,0,1)/SQRT(COUNT(#REF!)-3)))+1),"")</f>
        <v/>
      </c>
      <c r="N90" s="128" t="str">
        <f>IF(N76&gt;2,(EXP(2*(0.5*LN((1+N88)/(1-N88))+NORMINV(1-(1-$D$27/100)/2,0,1)/SQRT(COUNT(#REF!)-3)))-1)/(EXP(2*(0.5*LN((1+N88)/(1-N88))+NORMINV(1-(1-$D$27/100)/2,0,1)/SQRT(COUNT(#REF!)-3)))+1),"")</f>
        <v/>
      </c>
      <c r="O90" s="128" t="str">
        <f>IF(O76&gt;2,(EXP(2*(0.5*LN((1+O88)/(1-O88))+NORMINV(1-(1-$D$27/100)/2,0,1)/SQRT(COUNT(#REF!)-3)))-1)/(EXP(2*(0.5*LN((1+O88)/(1-O88))+NORMINV(1-(1-$D$27/100)/2,0,1)/SQRT(COUNT(#REF!)-3)))+1),"")</f>
        <v/>
      </c>
      <c r="P90" s="128" t="str">
        <f>IF(P76&gt;2,(EXP(2*(0.5*LN((1+P88)/(1-P88))+NORMINV(1-(1-$D$27/100)/2,0,1)/SQRT(COUNT(#REF!)-3)))-1)/(EXP(2*(0.5*LN((1+P88)/(1-P88))+NORMINV(1-(1-$D$27/100)/2,0,1)/SQRT(COUNT(#REF!)-3)))+1),"")</f>
        <v/>
      </c>
      <c r="Q90" s="180"/>
      <c r="R90" s="7"/>
      <c r="S90" s="9"/>
      <c r="T90" s="9"/>
      <c r="U90" s="9"/>
      <c r="V90" s="9"/>
      <c r="W90" s="9"/>
      <c r="X90" s="9"/>
      <c r="Y90" s="9"/>
      <c r="Z90" s="9"/>
      <c r="AA90" s="9"/>
      <c r="AB90" s="129"/>
      <c r="AC90" s="18" t="s">
        <v>95</v>
      </c>
      <c r="AD90" s="186" t="str">
        <f t="shared" si="30"/>
        <v/>
      </c>
      <c r="AE90" s="186" t="str">
        <f t="shared" si="30"/>
        <v/>
      </c>
      <c r="AF90" s="186" t="str">
        <f t="shared" si="30"/>
        <v/>
      </c>
      <c r="AG90" s="186" t="str">
        <f t="shared" si="30"/>
        <v/>
      </c>
      <c r="AH90" s="186" t="str">
        <f t="shared" si="30"/>
        <v/>
      </c>
      <c r="AI90" s="186" t="str">
        <f t="shared" si="30"/>
        <v/>
      </c>
      <c r="AJ90" s="29"/>
    </row>
    <row r="91" spans="1:44" x14ac:dyDescent="0.15">
      <c r="J91" s="117"/>
      <c r="K91" s="13" t="s">
        <v>102</v>
      </c>
      <c r="L91" s="83">
        <f>IF(L76&gt;2,1+(1-CORREL(D35:D50,E35:E50)^2)/2/(L53-3),"")</f>
        <v>1.0009579159057198</v>
      </c>
      <c r="M91" s="83" t="str">
        <f>IF(M76&gt;2,1+(1-CORREL(#REF!,#REF!)^2)/2/(M53-3),"")</f>
        <v/>
      </c>
      <c r="N91" s="83" t="str">
        <f>IF(N76&gt;2,1+(1-CORREL(#REF!,#REF!)^2)/2/(N53-3),"")</f>
        <v/>
      </c>
      <c r="O91" s="83" t="str">
        <f>IF(O76&gt;2,1+(1-CORREL(#REF!,#REF!)^2)/2/(O53-3),"")</f>
        <v/>
      </c>
      <c r="P91" s="83" t="str">
        <f>IF(P76&gt;2,1+(1-CORREL(#REF!,#REF!)^2)/2/(P53-3),"")</f>
        <v/>
      </c>
      <c r="Q91" s="180"/>
      <c r="S91" s="9"/>
      <c r="T91" s="9"/>
      <c r="U91" s="9"/>
      <c r="V91" s="9"/>
      <c r="W91" s="9"/>
      <c r="X91" s="9"/>
      <c r="Y91" s="9"/>
      <c r="Z91" s="9"/>
      <c r="AA91" s="9"/>
      <c r="AB91" s="129"/>
      <c r="AC91" s="124" t="s">
        <v>105</v>
      </c>
      <c r="AD91" s="181" t="str">
        <f t="shared" si="30"/>
        <v/>
      </c>
      <c r="AE91" s="181" t="str">
        <f t="shared" si="30"/>
        <v/>
      </c>
      <c r="AF91" s="181" t="str">
        <f t="shared" si="30"/>
        <v/>
      </c>
      <c r="AG91" s="181" t="str">
        <f t="shared" si="30"/>
        <v/>
      </c>
      <c r="AH91" s="181" t="str">
        <f t="shared" si="30"/>
        <v/>
      </c>
      <c r="AI91" s="181" t="str">
        <f t="shared" si="30"/>
        <v/>
      </c>
      <c r="AJ91" s="207"/>
    </row>
    <row r="92" spans="1:44" x14ac:dyDescent="0.15">
      <c r="J92" s="117"/>
      <c r="K92" s="138" t="s">
        <v>113</v>
      </c>
      <c r="L92" s="139">
        <f>IF(L76,(1-L65^2/(SUMPRODUCT(D52:E52,D52:E52,D55:E55)/SUM(D55:E55)))*(1+(1-(1-L65^2/(SUMPRODUCT(D52:E52,D52:E52,D55:E55)/SUM(D55:E55)))^2)/(D53+E53-L53-3)),"")</f>
        <v>0.9960723240301681</v>
      </c>
      <c r="M92" s="125" t="str">
        <f>IF(M76,(1-M65^2/(SUMPRODUCT(E52:F52,E52:F52,E55:F55)/SUM(E55:F55)))*(1+(1-(1-M65^2/(SUMPRODUCT(E52:F52,E52:F52,E55:F55)/SUM(E55:F55)))^2)/(E53+F53-M53-3)),"")</f>
        <v/>
      </c>
      <c r="N92" s="125" t="str">
        <f>IF(N76,(1-N65^2/(SUMPRODUCT(F52:G52,F52:G52,F55:G55)/SUM(F55:G55)))*(1+(1-(1-N65^2/(SUMPRODUCT(F52:G52,F52:G52,F55:G55)/SUM(F55:G55)))^2)/(F53+G53-N53-3)),"")</f>
        <v/>
      </c>
      <c r="O92" s="125" t="str">
        <f>IF(O76,(1-O65^2/(SUMPRODUCT(G52:H52,G52:H52,G55:H55)/SUM(G55:H55)))*(1+(1-(1-O65^2/(SUMPRODUCT(G52:H52,G52:H52,G55:H55)/SUM(G55:H55)))^2)/(G53+H53-O53-3)),"")</f>
        <v/>
      </c>
      <c r="P92" s="125" t="str">
        <f>IF(P76,(1-P65^2/(SUMPRODUCT(H52:I52,H52:I52,H55:I55)/SUM(H55:I55)))*(1+(1-(1-P65^2/(SUMPRODUCT(H52:I52,H52:I52,H55:I55)/SUM(H55:I55)))^2)/(H53+I53-P53-3)),"")</f>
        <v/>
      </c>
      <c r="Q92" s="140" t="e">
        <f>(1-Q65^2/J52^2)*(1+(1-(1-Q65^2/J52^2)^2)/(R51-3))</f>
        <v>#REF!</v>
      </c>
      <c r="S92" s="9"/>
      <c r="T92" s="9"/>
      <c r="U92" s="9"/>
      <c r="V92" s="9"/>
      <c r="W92" s="9"/>
      <c r="X92" s="9"/>
      <c r="Y92" s="9"/>
      <c r="Z92" s="9"/>
      <c r="AA92" s="9"/>
      <c r="AB92" s="129"/>
      <c r="AC92" s="18" t="s">
        <v>92</v>
      </c>
      <c r="AD92" s="184" t="str">
        <f t="shared" si="30"/>
        <v/>
      </c>
      <c r="AE92" s="184" t="str">
        <f t="shared" si="30"/>
        <v/>
      </c>
      <c r="AF92" s="184" t="str">
        <f t="shared" si="30"/>
        <v/>
      </c>
      <c r="AG92" s="184" t="str">
        <f t="shared" si="30"/>
        <v/>
      </c>
      <c r="AH92" s="184" t="str">
        <f t="shared" si="30"/>
        <v/>
      </c>
      <c r="AI92" s="184" t="str">
        <f t="shared" si="30"/>
        <v/>
      </c>
      <c r="AJ92" s="64"/>
    </row>
    <row r="93" spans="1:44" x14ac:dyDescent="0.15">
      <c r="J93" s="117"/>
      <c r="K93" s="13" t="s">
        <v>92</v>
      </c>
      <c r="L93" s="118">
        <f t="shared" ref="L93:Q93" si="31">IF(L76,(L99-1)/(L99+L95-1),"")</f>
        <v>0.98879958615610619</v>
      </c>
      <c r="M93" s="119" t="str">
        <f t="shared" si="31"/>
        <v/>
      </c>
      <c r="N93" s="119" t="str">
        <f t="shared" si="31"/>
        <v/>
      </c>
      <c r="O93" s="119" t="str">
        <f t="shared" si="31"/>
        <v/>
      </c>
      <c r="P93" s="119" t="str">
        <f t="shared" si="31"/>
        <v/>
      </c>
      <c r="Q93" s="150" t="e">
        <f t="shared" si="31"/>
        <v>#REF!</v>
      </c>
      <c r="S93" s="9"/>
      <c r="T93" s="9"/>
      <c r="U93" s="9"/>
      <c r="V93" s="9"/>
      <c r="W93" s="9"/>
      <c r="X93" s="9"/>
      <c r="Y93" s="9"/>
      <c r="Z93" s="9"/>
      <c r="AA93" s="9"/>
      <c r="AB93" s="129"/>
      <c r="AC93" s="95" t="s">
        <v>95</v>
      </c>
      <c r="AD93" s="186" t="str">
        <f t="shared" si="30"/>
        <v/>
      </c>
      <c r="AE93" s="186" t="str">
        <f t="shared" si="30"/>
        <v/>
      </c>
      <c r="AF93" s="186" t="str">
        <f t="shared" si="30"/>
        <v/>
      </c>
      <c r="AG93" s="186" t="str">
        <f t="shared" si="30"/>
        <v/>
      </c>
      <c r="AH93" s="186" t="str">
        <f t="shared" si="30"/>
        <v/>
      </c>
      <c r="AI93" s="186" t="str">
        <f t="shared" si="30"/>
        <v/>
      </c>
      <c r="AJ93" s="64"/>
    </row>
    <row r="94" spans="1:44" x14ac:dyDescent="0.15">
      <c r="J94" s="196"/>
      <c r="K94" s="208" t="s">
        <v>95</v>
      </c>
      <c r="L94" s="209">
        <f t="shared" ref="L94:Q94" si="32">IF(L76,(L100-1)/(L100+L95-1),"")</f>
        <v>0.99862593515957454</v>
      </c>
      <c r="M94" s="210" t="str">
        <f t="shared" si="32"/>
        <v/>
      </c>
      <c r="N94" s="210" t="str">
        <f t="shared" si="32"/>
        <v/>
      </c>
      <c r="O94" s="210" t="str">
        <f t="shared" si="32"/>
        <v/>
      </c>
      <c r="P94" s="210" t="str">
        <f t="shared" si="32"/>
        <v/>
      </c>
      <c r="Q94" s="211" t="e">
        <f t="shared" si="32"/>
        <v>#REF!</v>
      </c>
      <c r="S94" s="9"/>
      <c r="T94" s="9"/>
      <c r="U94" s="9"/>
      <c r="V94" s="9"/>
      <c r="W94" s="9"/>
      <c r="X94" s="9"/>
      <c r="Y94" s="9"/>
      <c r="Z94" s="9"/>
      <c r="AA94" s="9"/>
      <c r="AB94" s="258" t="s">
        <v>107</v>
      </c>
      <c r="AC94" s="259"/>
      <c r="AD94" s="177"/>
      <c r="AE94" s="177"/>
      <c r="AF94" s="177"/>
      <c r="AG94" s="177"/>
      <c r="AH94" s="177"/>
      <c r="AI94" s="178"/>
      <c r="AJ94" s="207"/>
    </row>
    <row r="95" spans="1:44" x14ac:dyDescent="0.15">
      <c r="J95" s="63"/>
      <c r="K95" s="79" t="s">
        <v>114</v>
      </c>
      <c r="L95" s="212">
        <f>IF(L76,1+L76/(D53+E53-L53-1),"")</f>
        <v>2</v>
      </c>
      <c r="M95" s="212" t="str">
        <f>IF(M76,1+M76/(E53+F53-M53-1),"")</f>
        <v/>
      </c>
      <c r="N95" s="212" t="str">
        <f>IF(N76,1+N76/(F53+G53-N53-1),"")</f>
        <v/>
      </c>
      <c r="O95" s="212" t="str">
        <f>IF(O76,1+O76/(G53+H53-O53-1),"")</f>
        <v/>
      </c>
      <c r="P95" s="212" t="str">
        <f>IF(P76,1+P76/(H53+I53-P53-1),"")</f>
        <v/>
      </c>
      <c r="Q95" s="212" t="e">
        <f>IF(Q76,1+Q76/(R51-1),"")</f>
        <v>#REF!</v>
      </c>
      <c r="S95" s="9"/>
      <c r="T95" s="9"/>
      <c r="U95" s="9"/>
      <c r="V95" s="9"/>
      <c r="W95" s="9"/>
      <c r="X95" s="9"/>
      <c r="Y95" s="9"/>
      <c r="Z95" s="9"/>
      <c r="AA95" s="9"/>
      <c r="AB95" s="129"/>
      <c r="AC95" s="124" t="s">
        <v>89</v>
      </c>
      <c r="AD95" s="125" t="str">
        <f t="shared" ref="AD95:AH97" si="33">AD130</f>
        <v/>
      </c>
      <c r="AE95" s="125" t="str">
        <f t="shared" si="33"/>
        <v/>
      </c>
      <c r="AF95" s="125" t="str">
        <f t="shared" si="33"/>
        <v/>
      </c>
      <c r="AG95" s="125" t="str">
        <f t="shared" si="33"/>
        <v/>
      </c>
      <c r="AH95" s="125" t="str">
        <f t="shared" si="33"/>
        <v/>
      </c>
      <c r="AI95" s="213"/>
      <c r="AJ95" s="64"/>
    </row>
    <row r="96" spans="1:44" x14ac:dyDescent="0.15">
      <c r="J96" s="63"/>
      <c r="K96" s="79" t="s">
        <v>115</v>
      </c>
      <c r="L96" s="212">
        <f t="shared" ref="L96:Q96" si="34">IF(L76,1+L92*L95/(1-L92),"")</f>
        <v>508.20697515828863</v>
      </c>
      <c r="M96" s="212" t="str">
        <f t="shared" si="34"/>
        <v/>
      </c>
      <c r="N96" s="212" t="str">
        <f t="shared" si="34"/>
        <v/>
      </c>
      <c r="O96" s="212" t="str">
        <f t="shared" si="34"/>
        <v/>
      </c>
      <c r="P96" s="212" t="str">
        <f t="shared" si="34"/>
        <v/>
      </c>
      <c r="Q96" s="212" t="e">
        <f t="shared" si="34"/>
        <v>#REF!</v>
      </c>
      <c r="S96" s="9"/>
      <c r="T96" s="9"/>
      <c r="U96" s="9"/>
      <c r="V96" s="9"/>
      <c r="W96" s="9"/>
      <c r="X96" s="9"/>
      <c r="Y96" s="9"/>
      <c r="Z96" s="9"/>
      <c r="AA96" s="9"/>
      <c r="AB96" s="129"/>
      <c r="AC96" s="18" t="s">
        <v>92</v>
      </c>
      <c r="AD96" s="119" t="str">
        <f t="shared" si="33"/>
        <v/>
      </c>
      <c r="AE96" s="119" t="str">
        <f t="shared" si="33"/>
        <v/>
      </c>
      <c r="AF96" s="119" t="str">
        <f t="shared" si="33"/>
        <v/>
      </c>
      <c r="AG96" s="119" t="str">
        <f t="shared" si="33"/>
        <v/>
      </c>
      <c r="AH96" s="119" t="str">
        <f t="shared" si="33"/>
        <v/>
      </c>
      <c r="AI96" s="213"/>
      <c r="AJ96" s="64"/>
    </row>
    <row r="97" spans="10:36" x14ac:dyDescent="0.15">
      <c r="J97" s="63"/>
      <c r="K97" s="79" t="s">
        <v>116</v>
      </c>
      <c r="L97" s="47">
        <f>IF(L76,D53+E53-L53-1,"")</f>
        <v>15</v>
      </c>
      <c r="M97" s="47" t="str">
        <f>IF(M76,E53+F53-M53-1,"")</f>
        <v/>
      </c>
      <c r="N97" s="47" t="str">
        <f>IF(N76,F53+G53-N53-1,"")</f>
        <v/>
      </c>
      <c r="O97" s="47" t="str">
        <f>IF(O76,G53+H53-O53-1,"")</f>
        <v/>
      </c>
      <c r="P97" s="47" t="str">
        <f>IF(P76,H53+I53-P53-1,"")</f>
        <v/>
      </c>
      <c r="Q97" s="47" t="e">
        <f>IF(Q76,R51-1,"")</f>
        <v>#REF!</v>
      </c>
      <c r="S97" s="9"/>
      <c r="T97" s="9"/>
      <c r="U97" s="9"/>
      <c r="V97" s="9"/>
      <c r="W97" s="9"/>
      <c r="X97" s="9"/>
      <c r="Y97" s="9"/>
      <c r="Z97" s="9"/>
      <c r="AA97" s="9"/>
      <c r="AB97" s="129"/>
      <c r="AC97" s="18" t="s">
        <v>95</v>
      </c>
      <c r="AD97" s="133" t="str">
        <f t="shared" si="33"/>
        <v/>
      </c>
      <c r="AE97" s="133" t="str">
        <f t="shared" si="33"/>
        <v/>
      </c>
      <c r="AF97" s="133" t="str">
        <f t="shared" si="33"/>
        <v/>
      </c>
      <c r="AG97" s="133" t="str">
        <f t="shared" si="33"/>
        <v/>
      </c>
      <c r="AH97" s="133" t="str">
        <f t="shared" si="33"/>
        <v/>
      </c>
      <c r="AI97" s="213"/>
      <c r="AJ97" s="207"/>
    </row>
    <row r="98" spans="10:36" x14ac:dyDescent="0.15">
      <c r="J98" s="63"/>
      <c r="K98" s="79" t="s">
        <v>117</v>
      </c>
      <c r="L98" s="80">
        <f t="shared" ref="L98:Q98" si="35">L76</f>
        <v>15</v>
      </c>
      <c r="M98" s="80">
        <f t="shared" si="35"/>
        <v>0</v>
      </c>
      <c r="N98" s="80">
        <f t="shared" si="35"/>
        <v>0</v>
      </c>
      <c r="O98" s="80">
        <f t="shared" si="35"/>
        <v>0</v>
      </c>
      <c r="P98" s="80">
        <f t="shared" si="35"/>
        <v>0</v>
      </c>
      <c r="Q98" s="80">
        <f t="shared" si="35"/>
        <v>15</v>
      </c>
      <c r="S98" s="9"/>
      <c r="T98" s="9"/>
      <c r="U98" s="9"/>
      <c r="V98" s="9"/>
      <c r="W98" s="9"/>
      <c r="X98" s="9"/>
      <c r="Y98" s="9"/>
      <c r="Z98" s="9"/>
      <c r="AA98" s="9"/>
      <c r="AB98" s="129"/>
      <c r="AC98" s="18" t="s">
        <v>96</v>
      </c>
      <c r="AD98" s="83" t="str">
        <f>IF(ISNUMBER(AD95),(AD97-AD96)/2,"")</f>
        <v/>
      </c>
      <c r="AE98" s="83" t="str">
        <f>IF(ISNUMBER(AE95),(AE97-AE96)/2,"")</f>
        <v/>
      </c>
      <c r="AF98" s="83" t="str">
        <f>IF(ISNUMBER(AF95),(AF97-AF96)/2,"")</f>
        <v/>
      </c>
      <c r="AG98" s="83" t="str">
        <f>IF(ISNUMBER(AG95),(AG97-AG96)/2,"")</f>
        <v/>
      </c>
      <c r="AH98" s="83" t="str">
        <f>IF(ISNUMBER(AH95),(AH97-AH96)/2,"")</f>
        <v/>
      </c>
      <c r="AI98" s="187"/>
      <c r="AJ98" s="64"/>
    </row>
    <row r="99" spans="10:36" x14ac:dyDescent="0.15">
      <c r="J99" s="63"/>
      <c r="K99" s="79" t="s">
        <v>118</v>
      </c>
      <c r="L99" s="212">
        <f t="shared" ref="L99:Q99" si="36">IF(L76,L96/FINV((1-$D$27/100)/2,L97,L98),"")</f>
        <v>177.56483053885995</v>
      </c>
      <c r="M99" s="212" t="str">
        <f t="shared" si="36"/>
        <v/>
      </c>
      <c r="N99" s="212" t="str">
        <f t="shared" si="36"/>
        <v/>
      </c>
      <c r="O99" s="212" t="str">
        <f t="shared" si="36"/>
        <v/>
      </c>
      <c r="P99" s="212" t="str">
        <f t="shared" si="36"/>
        <v/>
      </c>
      <c r="Q99" s="212" t="e">
        <f t="shared" si="36"/>
        <v>#REF!</v>
      </c>
      <c r="S99" s="9"/>
      <c r="T99" s="9"/>
      <c r="U99" s="9"/>
      <c r="V99" s="9"/>
      <c r="W99" s="9"/>
      <c r="X99" s="9"/>
      <c r="Y99" s="9"/>
      <c r="Z99" s="9"/>
      <c r="AA99" s="9"/>
      <c r="AB99" s="129"/>
      <c r="AC99" s="124" t="s">
        <v>97</v>
      </c>
      <c r="AD99" s="125" t="str">
        <f t="shared" ref="AD99:AI101" si="37">AD133</f>
        <v/>
      </c>
      <c r="AE99" s="125" t="str">
        <f t="shared" si="37"/>
        <v/>
      </c>
      <c r="AF99" s="125" t="str">
        <f t="shared" si="37"/>
        <v/>
      </c>
      <c r="AG99" s="125" t="str">
        <f t="shared" si="37"/>
        <v/>
      </c>
      <c r="AH99" s="125" t="str">
        <f t="shared" si="37"/>
        <v/>
      </c>
      <c r="AI99" s="140" t="str">
        <f t="shared" si="37"/>
        <v/>
      </c>
      <c r="AJ99" s="64"/>
    </row>
    <row r="100" spans="10:36" x14ac:dyDescent="0.15">
      <c r="J100" s="214"/>
      <c r="K100" s="79" t="s">
        <v>119</v>
      </c>
      <c r="L100" s="215">
        <f t="shared" ref="L100:Q100" si="38">IF(L76,L96*FINV((1-$D$27/100)/2,L98,L97),"")</f>
        <v>1454.5353875299884</v>
      </c>
      <c r="M100" s="212" t="str">
        <f t="shared" si="38"/>
        <v/>
      </c>
      <c r="N100" s="212" t="str">
        <f t="shared" si="38"/>
        <v/>
      </c>
      <c r="O100" s="212" t="str">
        <f t="shared" si="38"/>
        <v/>
      </c>
      <c r="P100" s="212" t="str">
        <f t="shared" si="38"/>
        <v/>
      </c>
      <c r="Q100" s="212" t="e">
        <f t="shared" si="38"/>
        <v>#REF!</v>
      </c>
      <c r="S100" s="9"/>
      <c r="T100" s="9"/>
      <c r="U100" s="9"/>
      <c r="V100" s="9"/>
      <c r="W100" s="9"/>
      <c r="X100" s="9"/>
      <c r="Y100" s="9"/>
      <c r="Z100" s="9"/>
      <c r="AA100" s="9"/>
      <c r="AB100" s="129"/>
      <c r="AC100" s="18" t="s">
        <v>92</v>
      </c>
      <c r="AD100" s="119" t="str">
        <f t="shared" si="37"/>
        <v/>
      </c>
      <c r="AE100" s="119" t="str">
        <f t="shared" si="37"/>
        <v/>
      </c>
      <c r="AF100" s="119" t="str">
        <f t="shared" si="37"/>
        <v/>
      </c>
      <c r="AG100" s="119" t="str">
        <f t="shared" si="37"/>
        <v/>
      </c>
      <c r="AH100" s="119" t="str">
        <f t="shared" si="37"/>
        <v/>
      </c>
      <c r="AI100" s="150" t="str">
        <f t="shared" si="37"/>
        <v/>
      </c>
      <c r="AJ100" s="64"/>
    </row>
    <row r="101" spans="10:36" x14ac:dyDescent="0.15">
      <c r="J101" s="8"/>
      <c r="K101" s="216" t="s">
        <v>120</v>
      </c>
      <c r="L101" s="217">
        <f>IF((L53&gt;3)*L76,FISHER(L88),"")</f>
        <v>2.5726687009563198</v>
      </c>
      <c r="M101" s="217" t="str">
        <f>IF((M53&gt;3)*M76,FISHER(M88),"")</f>
        <v/>
      </c>
      <c r="N101" s="217" t="str">
        <f>IF((N53&gt;3)*N76,FISHER(N88),"")</f>
        <v/>
      </c>
      <c r="O101" s="217" t="str">
        <f>IF((O53&gt;3)*O76,FISHER(O88),"")</f>
        <v/>
      </c>
      <c r="P101" s="217" t="str">
        <f>IF((P53&gt;3)*P76,FISHER(P88),"")</f>
        <v/>
      </c>
      <c r="Q101" s="217">
        <f>SUMPRODUCT(L101:P101,L102:P102)/SUM(L102:P102)</f>
        <v>2.5726687009563198</v>
      </c>
      <c r="S101" s="9"/>
      <c r="T101" s="9"/>
      <c r="U101" s="9"/>
      <c r="V101" s="9"/>
      <c r="W101" s="9"/>
      <c r="X101" s="9"/>
      <c r="Y101" s="9"/>
      <c r="Z101" s="9"/>
      <c r="AA101" s="9"/>
      <c r="AB101" s="129"/>
      <c r="AC101" s="18" t="s">
        <v>95</v>
      </c>
      <c r="AD101" s="133" t="str">
        <f t="shared" si="37"/>
        <v/>
      </c>
      <c r="AE101" s="133" t="str">
        <f t="shared" si="37"/>
        <v/>
      </c>
      <c r="AF101" s="133" t="str">
        <f t="shared" si="37"/>
        <v/>
      </c>
      <c r="AG101" s="133" t="str">
        <f t="shared" si="37"/>
        <v/>
      </c>
      <c r="AH101" s="133" t="str">
        <f t="shared" si="37"/>
        <v/>
      </c>
      <c r="AI101" s="155" t="str">
        <f t="shared" si="37"/>
        <v/>
      </c>
      <c r="AJ101" s="64"/>
    </row>
    <row r="102" spans="10:36" x14ac:dyDescent="0.15">
      <c r="J102" s="8"/>
      <c r="K102" s="218" t="s">
        <v>121</v>
      </c>
      <c r="L102" s="219">
        <f>IF((L53&gt;3)*L76,(L53-3),"")</f>
        <v>13</v>
      </c>
      <c r="M102" s="219" t="str">
        <f>IF((M53&gt;3)*M76,(M53-3),"")</f>
        <v/>
      </c>
      <c r="N102" s="219" t="str">
        <f>IF((N53&gt;3)*N76,(N53-3),"")</f>
        <v/>
      </c>
      <c r="O102" s="219" t="str">
        <f>IF((O53&gt;3)*O76,(O53-3),"")</f>
        <v/>
      </c>
      <c r="P102" s="219" t="str">
        <f>IF((P53&gt;3)*P76,(P53-3),"")</f>
        <v/>
      </c>
      <c r="Q102" s="219"/>
      <c r="S102" s="9"/>
      <c r="T102" s="9"/>
      <c r="U102" s="9"/>
      <c r="V102" s="9"/>
      <c r="W102" s="9"/>
      <c r="X102" s="9"/>
      <c r="Y102" s="9"/>
      <c r="Z102" s="9"/>
      <c r="AA102" s="9"/>
      <c r="AB102" s="129"/>
      <c r="AC102" s="157" t="s">
        <v>100</v>
      </c>
      <c r="AD102" s="83" t="str">
        <f t="shared" ref="AD102:AI102" si="39">IF(ISNUMBER(AD99),SQRT(AD101/AD100),"")</f>
        <v/>
      </c>
      <c r="AE102" s="83" t="str">
        <f t="shared" si="39"/>
        <v/>
      </c>
      <c r="AF102" s="83" t="str">
        <f t="shared" si="39"/>
        <v/>
      </c>
      <c r="AG102" s="83" t="str">
        <f t="shared" si="39"/>
        <v/>
      </c>
      <c r="AH102" s="83" t="str">
        <f t="shared" si="39"/>
        <v/>
      </c>
      <c r="AI102" s="86" t="str">
        <f t="shared" si="39"/>
        <v/>
      </c>
      <c r="AJ102" s="64"/>
    </row>
    <row r="103" spans="10:36" x14ac:dyDescent="0.15">
      <c r="J103" s="8"/>
      <c r="K103" s="79" t="s">
        <v>122</v>
      </c>
      <c r="L103" s="220">
        <f>IF(L$76*(L92&gt;0),(SUMPRODUCT(D$52:E$52,D$52:E$52,D$55:E$55)/SUM(D$55:E$55))-L65^2,"")</f>
        <v>2000.7690743264095</v>
      </c>
      <c r="M103" s="220" t="str">
        <f>IF(M$76*(M92&gt;0),(SUMPRODUCT(E$52:F$52,E$52:F$52,E$55:F$55)/SUM(E$55:F$55))-M65^2,"")</f>
        <v/>
      </c>
      <c r="N103" s="220" t="str">
        <f>IF(N$76*(N92&gt;0),(SUMPRODUCT(F$52:G$52,F$52:G$52,F$55:G$55)/SUM(F$55:G$55))-N65^2,"")</f>
        <v/>
      </c>
      <c r="O103" s="220" t="str">
        <f>IF(O$76*(O92&gt;0),(SUMPRODUCT(G$52:H$52,G$52:H$52,G$55:H$55)/SUM(G$55:H$55))-O65^2,"")</f>
        <v/>
      </c>
      <c r="P103" s="220" t="str">
        <f>IF(P$76*(P92&gt;0),(SUMPRODUCT(H$52:I$52,H$52:I$52,H$55:I$55)/SUM(H$55:I$55))-P65^2,"")</f>
        <v/>
      </c>
      <c r="Q103" s="220" t="e">
        <f>IF(Q$76*(Q92&gt;0),J52^2-Q65^2,"")</f>
        <v>#REF!</v>
      </c>
      <c r="S103" s="9"/>
      <c r="T103" s="9"/>
      <c r="U103" s="9"/>
      <c r="V103" s="9"/>
      <c r="W103" s="9"/>
      <c r="X103" s="9"/>
      <c r="Y103" s="9"/>
      <c r="Z103" s="9"/>
      <c r="AA103" s="9"/>
      <c r="AB103" s="129"/>
      <c r="AC103" s="95" t="s">
        <v>102</v>
      </c>
      <c r="AD103" s="83" t="str">
        <f t="shared" ref="AD103:AI103" si="40">AD121</f>
        <v/>
      </c>
      <c r="AE103" s="83" t="str">
        <f t="shared" si="40"/>
        <v/>
      </c>
      <c r="AF103" s="83" t="str">
        <f t="shared" si="40"/>
        <v/>
      </c>
      <c r="AG103" s="83" t="str">
        <f t="shared" si="40"/>
        <v/>
      </c>
      <c r="AH103" s="83" t="str">
        <f t="shared" si="40"/>
        <v/>
      </c>
      <c r="AI103" s="86" t="str">
        <f t="shared" si="40"/>
        <v/>
      </c>
      <c r="AJ103" s="64"/>
    </row>
    <row r="104" spans="10:36" x14ac:dyDescent="0.15">
      <c r="J104" s="8"/>
      <c r="K104" s="79" t="s">
        <v>123</v>
      </c>
      <c r="L104" s="220">
        <f>IF(L$76*(L92&gt;0),SQRT(2*((SUMPRODUCT(D$52:E$52,D$52:E$52,D$55:E$55)/SUM(D$55:E$55))^2/L97-L65^4/L98)),"")</f>
        <v>733.97237539731748</v>
      </c>
      <c r="M104" s="220" t="str">
        <f>IF(M$76*(M92&gt;0),SQRT(2*((SUMPRODUCT(E$52:F$52,E$52:F$52,E$55:F$55)/SUM(E$55:F$55))^2/M97-M65^4/M98)),"")</f>
        <v/>
      </c>
      <c r="N104" s="220" t="str">
        <f>IF(N$76*(N92&gt;0),SQRT(2*((SUMPRODUCT(F$52:G$52,F$52:G$52,F$55:G$55)/SUM(F$55:G$55))^2/N97-N65^4/N98)),"")</f>
        <v/>
      </c>
      <c r="O104" s="220" t="str">
        <f>IF(O$76*(O92&gt;0),SQRT(2*((SUMPRODUCT(G$52:H$52,G$52:H$52,G$55:H$55)/SUM(G$55:H$55))^2/O97-O65^4/O98)),"")</f>
        <v/>
      </c>
      <c r="P104" s="220" t="str">
        <f>IF(P$76*(P92&gt;0),SQRT(2*((SUMPRODUCT(H$52:I$52,H$52:I$52,H$55:I$55)/SUM(H$55:I$55))^2/P97-P65^4/P98)),"")</f>
        <v/>
      </c>
      <c r="Q104" s="220" t="e">
        <f>IF(Q$76*(Q92&gt;0),SQRT(2*J52^4/Q97-Q65^4/Q98),"")</f>
        <v>#REF!</v>
      </c>
      <c r="S104" s="9"/>
      <c r="T104" s="9"/>
      <c r="U104" s="9"/>
      <c r="V104" s="9"/>
      <c r="W104" s="9"/>
      <c r="X104" s="9"/>
      <c r="Y104" s="9"/>
      <c r="Z104" s="9"/>
      <c r="AA104" s="9"/>
      <c r="AB104" s="221" t="s">
        <v>111</v>
      </c>
      <c r="AC104" s="222"/>
      <c r="AD104" s="223"/>
      <c r="AE104" s="223"/>
      <c r="AF104" s="223"/>
      <c r="AG104" s="223"/>
      <c r="AH104" s="223"/>
      <c r="AI104" s="224"/>
      <c r="AJ104" s="64"/>
    </row>
    <row r="105" spans="10:36" x14ac:dyDescent="0.15">
      <c r="J105" s="8"/>
      <c r="K105" s="79" t="s">
        <v>124</v>
      </c>
      <c r="L105" s="220">
        <f t="shared" ref="L105:Q105" si="41">IF(L$76*(L92&gt;0),L103+NORMSINV((100-$D$27)/100/2)*L104,"")</f>
        <v>562.20965290035497</v>
      </c>
      <c r="M105" s="220" t="str">
        <f t="shared" si="41"/>
        <v/>
      </c>
      <c r="N105" s="220" t="str">
        <f t="shared" si="41"/>
        <v/>
      </c>
      <c r="O105" s="220" t="str">
        <f t="shared" si="41"/>
        <v/>
      </c>
      <c r="P105" s="220" t="str">
        <f t="shared" si="41"/>
        <v/>
      </c>
      <c r="Q105" s="220" t="e">
        <f t="shared" si="41"/>
        <v>#REF!</v>
      </c>
      <c r="S105" s="9"/>
      <c r="T105" s="9"/>
      <c r="U105" s="9"/>
      <c r="V105" s="9"/>
      <c r="W105" s="9"/>
      <c r="X105" s="9"/>
      <c r="Y105" s="9"/>
      <c r="Z105" s="9"/>
      <c r="AA105" s="9"/>
      <c r="AB105" s="123"/>
      <c r="AC105" s="124" t="s">
        <v>112</v>
      </c>
      <c r="AD105" s="125" t="str">
        <f t="shared" ref="AD105:AH111" si="42">AD137</f>
        <v/>
      </c>
      <c r="AE105" s="125" t="str">
        <f t="shared" si="42"/>
        <v/>
      </c>
      <c r="AF105" s="125" t="str">
        <f t="shared" si="42"/>
        <v/>
      </c>
      <c r="AG105" s="125" t="str">
        <f t="shared" si="42"/>
        <v/>
      </c>
      <c r="AH105" s="125" t="str">
        <f t="shared" si="42"/>
        <v/>
      </c>
      <c r="AI105" s="140" t="str">
        <f>IF(ISNUMBER(AI$128),AI137,"")</f>
        <v/>
      </c>
      <c r="AJ105" s="64"/>
    </row>
    <row r="106" spans="10:36" x14ac:dyDescent="0.15">
      <c r="J106" s="8"/>
      <c r="K106" s="79" t="s">
        <v>125</v>
      </c>
      <c r="L106" s="220">
        <f t="shared" ref="L106:Q106" si="43">IF(L$76*(L92&gt;0),L103-NORMSINV((100-$D$27)/100/2)*L104,"")</f>
        <v>3439.3284957524638</v>
      </c>
      <c r="M106" s="220" t="str">
        <f t="shared" si="43"/>
        <v/>
      </c>
      <c r="N106" s="220" t="str">
        <f t="shared" si="43"/>
        <v/>
      </c>
      <c r="O106" s="220" t="str">
        <f t="shared" si="43"/>
        <v/>
      </c>
      <c r="P106" s="220" t="str">
        <f t="shared" si="43"/>
        <v/>
      </c>
      <c r="Q106" s="220" t="e">
        <f t="shared" si="43"/>
        <v>#REF!</v>
      </c>
      <c r="S106" s="9"/>
      <c r="T106" s="9"/>
      <c r="U106" s="9"/>
      <c r="V106" s="9"/>
      <c r="W106" s="9"/>
      <c r="X106" s="9"/>
      <c r="Y106" s="9"/>
      <c r="Z106" s="9"/>
      <c r="AA106" s="9"/>
      <c r="AB106" s="129"/>
      <c r="AC106" s="18" t="s">
        <v>92</v>
      </c>
      <c r="AD106" s="119" t="str">
        <f t="shared" si="42"/>
        <v/>
      </c>
      <c r="AE106" s="119" t="str">
        <f t="shared" si="42"/>
        <v/>
      </c>
      <c r="AF106" s="119" t="str">
        <f t="shared" si="42"/>
        <v/>
      </c>
      <c r="AG106" s="119" t="str">
        <f t="shared" si="42"/>
        <v/>
      </c>
      <c r="AH106" s="119" t="str">
        <f t="shared" si="42"/>
        <v/>
      </c>
      <c r="AI106" s="213"/>
      <c r="AJ106" s="207"/>
    </row>
    <row r="107" spans="10:36" x14ac:dyDescent="0.15">
      <c r="S107" s="9"/>
      <c r="T107" s="9"/>
      <c r="U107" s="9"/>
      <c r="V107" s="9"/>
      <c r="W107" s="9"/>
      <c r="X107" s="9"/>
      <c r="Y107" s="9"/>
      <c r="Z107" s="9"/>
      <c r="AA107" s="9"/>
      <c r="AB107" s="129"/>
      <c r="AC107" s="18" t="s">
        <v>95</v>
      </c>
      <c r="AD107" s="133" t="str">
        <f t="shared" si="42"/>
        <v/>
      </c>
      <c r="AE107" s="133" t="str">
        <f t="shared" si="42"/>
        <v/>
      </c>
      <c r="AF107" s="133" t="str">
        <f t="shared" si="42"/>
        <v/>
      </c>
      <c r="AG107" s="133" t="str">
        <f t="shared" si="42"/>
        <v/>
      </c>
      <c r="AH107" s="133" t="str">
        <f t="shared" si="42"/>
        <v/>
      </c>
      <c r="AI107" s="213"/>
      <c r="AJ107" s="64"/>
    </row>
    <row r="108" spans="10:36" x14ac:dyDescent="0.15">
      <c r="S108" s="9"/>
      <c r="T108" s="9"/>
      <c r="U108" s="9"/>
      <c r="V108" s="9"/>
      <c r="W108" s="9"/>
      <c r="X108" s="9"/>
      <c r="Y108" s="9"/>
      <c r="Z108" s="9"/>
      <c r="AA108" s="9"/>
      <c r="AB108" s="129"/>
      <c r="AC108" s="18" t="s">
        <v>102</v>
      </c>
      <c r="AD108" s="83" t="str">
        <f t="shared" si="42"/>
        <v/>
      </c>
      <c r="AE108" s="83" t="str">
        <f t="shared" si="42"/>
        <v/>
      </c>
      <c r="AF108" s="83" t="str">
        <f t="shared" si="42"/>
        <v/>
      </c>
      <c r="AG108" s="83" t="str">
        <f t="shared" si="42"/>
        <v/>
      </c>
      <c r="AH108" s="83" t="str">
        <f t="shared" si="42"/>
        <v/>
      </c>
      <c r="AI108" s="213"/>
      <c r="AJ108" s="64"/>
    </row>
    <row r="109" spans="10:36" x14ac:dyDescent="0.15">
      <c r="S109" s="9"/>
      <c r="T109" s="9"/>
      <c r="U109" s="9"/>
      <c r="V109" s="9"/>
      <c r="W109" s="9"/>
      <c r="X109" s="9"/>
      <c r="Y109" s="9"/>
      <c r="Z109" s="9"/>
      <c r="AA109" s="9"/>
      <c r="AB109" s="129"/>
      <c r="AC109" s="124" t="s">
        <v>126</v>
      </c>
      <c r="AD109" s="125" t="str">
        <f t="shared" si="42"/>
        <v/>
      </c>
      <c r="AE109" s="125" t="str">
        <f t="shared" si="42"/>
        <v/>
      </c>
      <c r="AF109" s="125" t="str">
        <f t="shared" si="42"/>
        <v/>
      </c>
      <c r="AG109" s="125" t="str">
        <f t="shared" si="42"/>
        <v/>
      </c>
      <c r="AH109" s="125" t="str">
        <f t="shared" si="42"/>
        <v/>
      </c>
      <c r="AI109" s="140" t="str">
        <f>IF(ISERROR(AI141),"",AI141)</f>
        <v/>
      </c>
      <c r="AJ109" s="64"/>
    </row>
    <row r="110" spans="10:36" x14ac:dyDescent="0.15">
      <c r="S110" s="9"/>
      <c r="T110" s="9"/>
      <c r="U110" s="9"/>
      <c r="V110" s="9"/>
      <c r="W110" s="9"/>
      <c r="X110" s="9"/>
      <c r="Y110" s="9"/>
      <c r="Z110" s="9"/>
      <c r="AA110" s="9"/>
      <c r="AB110" s="129"/>
      <c r="AC110" s="18" t="s">
        <v>92</v>
      </c>
      <c r="AD110" s="119" t="str">
        <f t="shared" si="42"/>
        <v/>
      </c>
      <c r="AE110" s="119" t="str">
        <f t="shared" si="42"/>
        <v/>
      </c>
      <c r="AF110" s="119" t="str">
        <f t="shared" si="42"/>
        <v/>
      </c>
      <c r="AG110" s="119" t="str">
        <f t="shared" si="42"/>
        <v/>
      </c>
      <c r="AH110" s="119" t="str">
        <f t="shared" si="42"/>
        <v/>
      </c>
      <c r="AI110" s="150" t="str">
        <f>IF(ISERROR(AI142),"",AI142)</f>
        <v/>
      </c>
      <c r="AJ110" s="9"/>
    </row>
    <row r="111" spans="10:36" x14ac:dyDescent="0.15">
      <c r="S111" s="9"/>
      <c r="T111" s="9"/>
      <c r="U111" s="9"/>
      <c r="V111" s="9"/>
      <c r="W111" s="9"/>
      <c r="X111" s="9"/>
      <c r="Y111" s="9"/>
      <c r="Z111" s="9"/>
      <c r="AA111" s="9"/>
      <c r="AB111" s="225"/>
      <c r="AC111" s="95" t="s">
        <v>95</v>
      </c>
      <c r="AD111" s="210" t="str">
        <f t="shared" si="42"/>
        <v/>
      </c>
      <c r="AE111" s="210" t="str">
        <f t="shared" si="42"/>
        <v/>
      </c>
      <c r="AF111" s="210" t="str">
        <f t="shared" si="42"/>
        <v/>
      </c>
      <c r="AG111" s="210" t="str">
        <f t="shared" si="42"/>
        <v/>
      </c>
      <c r="AH111" s="210" t="str">
        <f t="shared" si="42"/>
        <v/>
      </c>
      <c r="AI111" s="211" t="str">
        <f>IF(ISERROR(AI143),"",AI143)</f>
        <v/>
      </c>
      <c r="AJ111" s="9"/>
    </row>
    <row r="112" spans="10:36" x14ac:dyDescent="0.15">
      <c r="S112" s="9"/>
      <c r="T112" s="9"/>
      <c r="U112" s="9"/>
      <c r="V112" s="9"/>
      <c r="W112" s="9"/>
      <c r="X112" s="9"/>
      <c r="Y112" s="9"/>
      <c r="Z112" s="9"/>
      <c r="AA112" s="9"/>
      <c r="AB112" s="9"/>
      <c r="AC112" s="9"/>
      <c r="AD112" s="9"/>
      <c r="AE112" s="9"/>
      <c r="AF112" s="9"/>
      <c r="AG112" s="9"/>
      <c r="AH112" s="9"/>
      <c r="AI112" s="9"/>
      <c r="AJ112" s="9"/>
    </row>
    <row r="113" spans="19:36" ht="14" x14ac:dyDescent="0.15">
      <c r="S113" s="9"/>
      <c r="T113" s="9"/>
      <c r="U113" s="9"/>
      <c r="V113" s="9"/>
      <c r="W113" s="9"/>
      <c r="X113" s="9"/>
      <c r="Y113" s="9"/>
      <c r="Z113" s="9"/>
      <c r="AA113" s="9"/>
      <c r="AB113" s="226" t="s">
        <v>127</v>
      </c>
      <c r="AC113" s="227"/>
      <c r="AD113" s="227"/>
      <c r="AE113" s="227"/>
      <c r="AF113" s="227"/>
      <c r="AG113" s="227"/>
      <c r="AH113" s="227"/>
      <c r="AI113" s="228"/>
      <c r="AJ113" s="9"/>
    </row>
    <row r="114" spans="19:36" ht="14" x14ac:dyDescent="0.15">
      <c r="S114" s="9"/>
      <c r="T114" s="9"/>
      <c r="U114" s="9"/>
      <c r="V114" s="9"/>
      <c r="W114" s="9"/>
      <c r="X114" s="9"/>
      <c r="Y114" s="9"/>
      <c r="Z114" s="9"/>
      <c r="AA114" s="9"/>
      <c r="AB114" s="33"/>
      <c r="AC114" s="33"/>
      <c r="AD114" s="229" t="str">
        <f>L29</f>
        <v>2-1</v>
      </c>
      <c r="AE114" s="229" t="str">
        <f>M29</f>
        <v>3-2</v>
      </c>
      <c r="AF114" s="229" t="str">
        <f>N29</f>
        <v>4-3</v>
      </c>
      <c r="AG114" s="229" t="str">
        <f>O29</f>
        <v>5-4</v>
      </c>
      <c r="AH114" s="229" t="str">
        <f>P29</f>
        <v>6-5</v>
      </c>
      <c r="AI114" s="43" t="s">
        <v>51</v>
      </c>
      <c r="AJ114" s="9"/>
    </row>
    <row r="115" spans="19:36" x14ac:dyDescent="0.15">
      <c r="S115" s="9"/>
      <c r="T115" s="9"/>
      <c r="U115" s="9"/>
      <c r="V115" s="9"/>
      <c r="W115" s="9"/>
      <c r="X115" s="9"/>
      <c r="Y115" s="9"/>
      <c r="Z115" s="9"/>
      <c r="AA115" s="9"/>
      <c r="AB115" s="230"/>
      <c r="AC115" s="231" t="s">
        <v>89</v>
      </c>
      <c r="AD115" s="232" t="str">
        <f>IF(AD128,AD51,"")</f>
        <v/>
      </c>
      <c r="AE115" s="232" t="str">
        <f>IF(AE128,AE51,"")</f>
        <v/>
      </c>
      <c r="AF115" s="232" t="str">
        <f>IF(AF128,AF51,"")</f>
        <v/>
      </c>
      <c r="AG115" s="232" t="str">
        <f>IF(AG128,AG51,"")</f>
        <v/>
      </c>
      <c r="AH115" s="232" t="str">
        <f>IF(AH128,AH51,"")</f>
        <v/>
      </c>
      <c r="AI115" s="232"/>
      <c r="AJ115" s="9"/>
    </row>
    <row r="116" spans="19:36" x14ac:dyDescent="0.15">
      <c r="AB116" s="65"/>
      <c r="AC116" s="56" t="s">
        <v>92</v>
      </c>
      <c r="AD116" s="233" t="str">
        <f>IF(AD128,AD115-TINV(1-$D$27/100,AD128)*AD52/SQRT(AD53),"")</f>
        <v/>
      </c>
      <c r="AE116" s="233" t="str">
        <f>IF(AE128,AE115-TINV(1-$D$27/100,AE128)*AE52/SQRT(AE53),"")</f>
        <v/>
      </c>
      <c r="AF116" s="233" t="str">
        <f>IF(AF128,AF115-TINV(1-$D$27/100,AF128)*AF52/SQRT(AF53),"")</f>
        <v/>
      </c>
      <c r="AG116" s="233" t="str">
        <f>IF(AG128,AG115-TINV(1-$D$27/100,AG128)*AG52/SQRT(AG53),"")</f>
        <v/>
      </c>
      <c r="AH116" s="233" t="str">
        <f>IF(AH128,AH115-TINV(1-$D$27/100,AH128)*AH52/SQRT(AH53),"")</f>
        <v/>
      </c>
      <c r="AI116" s="58"/>
    </row>
    <row r="117" spans="19:36" x14ac:dyDescent="0.15">
      <c r="AB117" s="65"/>
      <c r="AC117" s="56" t="s">
        <v>95</v>
      </c>
      <c r="AD117" s="234" t="str">
        <f>IF(AD128,AD115+TINV(1-$D$27/100,AD128)*AD52/SQRT(AD53),"")</f>
        <v/>
      </c>
      <c r="AE117" s="234" t="str">
        <f>IF(AE128,AE115+TINV(1-$D$27/100,AE128)*AE52/SQRT(AE53),"")</f>
        <v/>
      </c>
      <c r="AF117" s="234" t="str">
        <f>IF(AF128,AF115+TINV(1-$D$27/100,AF128)*AF52/SQRT(AF53),"")</f>
        <v/>
      </c>
      <c r="AG117" s="234" t="str">
        <f>IF(AG128,AG115+TINV(1-$D$27/100,AG128)*AG52/SQRT(AG53),"")</f>
        <v/>
      </c>
      <c r="AH117" s="234" t="str">
        <f>IF(AH128,AH115+TINV(1-$D$27/100,AH128)*AH52/SQRT(AH53),"")</f>
        <v/>
      </c>
      <c r="AI117" s="58"/>
    </row>
    <row r="118" spans="19:36" x14ac:dyDescent="0.15">
      <c r="AB118" s="230"/>
      <c r="AC118" s="231" t="s">
        <v>97</v>
      </c>
      <c r="AD118" s="232" t="str">
        <f>IF(AD128,STDEV(#REF!)/SQRT(2),"")</f>
        <v/>
      </c>
      <c r="AE118" s="232" t="str">
        <f>IF(AE128,STDEV(#REF!)/SQRT(2),"")</f>
        <v/>
      </c>
      <c r="AF118" s="232" t="str">
        <f>IF(AF128,STDEV(#REF!)/SQRT(2),"")</f>
        <v/>
      </c>
      <c r="AG118" s="232" t="str">
        <f>IF(AG128,STDEV(#REF!)/SQRT(2),"")</f>
        <v/>
      </c>
      <c r="AH118" s="232" t="str">
        <f>IF(AH128,STDEV(#REF!)/SQRT(2),"")</f>
        <v/>
      </c>
      <c r="AI118" s="232" t="e">
        <f>IF(AI128,SQRT(SUMPRODUCT(AD118:AH118,AD118:AH118,AD128:AH128)/SUM(AD128:AH128)),"")</f>
        <v>#REF!</v>
      </c>
    </row>
    <row r="119" spans="19:36" x14ac:dyDescent="0.15">
      <c r="AB119" s="65"/>
      <c r="AC119" s="56" t="s">
        <v>92</v>
      </c>
      <c r="AD119" s="233" t="str">
        <f>IF(AD128,SQRT(AD128*AD118^2/CHIINV((1-$D$27/100)/2,AD128)),"")</f>
        <v/>
      </c>
      <c r="AE119" s="233" t="str">
        <f>IF(AE128,SQRT(AE128*AE118^2/CHIINV((1-$D$27/100)/2,AE128)),"")</f>
        <v/>
      </c>
      <c r="AF119" s="233" t="str">
        <f>IF(AF128,SQRT(AF128*AF118^2/CHIINV((1-$D$27/100)/2,AF128)),"")</f>
        <v/>
      </c>
      <c r="AG119" s="233" t="str">
        <f>IF(AG128,SQRT(AG128*AG118^2/CHIINV((1-$D$27/100)/2,AG128)),"")</f>
        <v/>
      </c>
      <c r="AH119" s="233" t="str">
        <f>IF(AH128,SQRT(AH128*AH118^2/CHIINV((1-$D$27/100)/2,AH128)),"")</f>
        <v/>
      </c>
      <c r="AI119" s="233" t="e">
        <f>SQRT(AI128*AI118^2/CHIINV((1-$D$27/100)/2,AI128))</f>
        <v>#REF!</v>
      </c>
    </row>
    <row r="120" spans="19:36" x14ac:dyDescent="0.15">
      <c r="AB120" s="65"/>
      <c r="AC120" s="56" t="s">
        <v>95</v>
      </c>
      <c r="AD120" s="234" t="str">
        <f>IF(AD128,SQRT(AD128*AD118^2/CHIINV(1-(1-$D$27/100)/2,AD128)),"")</f>
        <v/>
      </c>
      <c r="AE120" s="234" t="str">
        <f>IF(AE128,SQRT(AE128*AE118^2/CHIINV(1-(1-$D$27/100)/2,AE128)),"")</f>
        <v/>
      </c>
      <c r="AF120" s="234" t="str">
        <f>IF(AF128,SQRT(AF128*AF118^2/CHIINV(1-(1-$D$27/100)/2,AF128)),"")</f>
        <v/>
      </c>
      <c r="AG120" s="234" t="str">
        <f>IF(AG128,SQRT(AG128*AG118^2/CHIINV(1-(1-$D$27/100)/2,AG128)),"")</f>
        <v/>
      </c>
      <c r="AH120" s="234" t="str">
        <f>IF(AH128,SQRT(AH128*AH118^2/CHIINV(1-(1-$D$27/100)/2,AH128)),"")</f>
        <v/>
      </c>
      <c r="AI120" s="234" t="e">
        <f>SQRT(AI128*AI118^2/CHIINV(1-(1-$D$27/100)/2,AI128))</f>
        <v>#REF!</v>
      </c>
    </row>
    <row r="121" spans="19:36" x14ac:dyDescent="0.15">
      <c r="AB121" s="9"/>
      <c r="AC121" s="56" t="s">
        <v>102</v>
      </c>
      <c r="AD121" s="57" t="str">
        <f>IF(AD128,1+1/(4*AD128),"")</f>
        <v/>
      </c>
      <c r="AE121" s="57" t="str">
        <f>IF(AE128,1+1/(4*AE128),"")</f>
        <v/>
      </c>
      <c r="AF121" s="57" t="str">
        <f>IF(AF128,1+1/(4*AF128),"")</f>
        <v/>
      </c>
      <c r="AG121" s="57" t="str">
        <f>IF(AG128,1+1/(4*AG128),"")</f>
        <v/>
      </c>
      <c r="AH121" s="57" t="str">
        <f>IF(AH128,1+1/(4*AH128),"")</f>
        <v/>
      </c>
      <c r="AI121" s="57" t="str">
        <f>IF(ISNUMBER(AI128),1+1/(4*AI128),"")</f>
        <v/>
      </c>
    </row>
    <row r="122" spans="19:36" x14ac:dyDescent="0.15">
      <c r="AB122" s="9"/>
      <c r="AC122" s="231" t="s">
        <v>128</v>
      </c>
      <c r="AD122" s="58" t="str">
        <f t="shared" ref="AD122:AI122" si="44">IF(AD$128*(AD141&gt;0),$D$26*SQRT(AD152),"")</f>
        <v/>
      </c>
      <c r="AE122" s="58" t="str">
        <f t="shared" si="44"/>
        <v/>
      </c>
      <c r="AF122" s="58" t="str">
        <f t="shared" si="44"/>
        <v/>
      </c>
      <c r="AG122" s="58" t="str">
        <f t="shared" si="44"/>
        <v/>
      </c>
      <c r="AH122" s="58" t="str">
        <f t="shared" si="44"/>
        <v/>
      </c>
      <c r="AI122" s="58" t="e">
        <f t="shared" si="44"/>
        <v>#REF!</v>
      </c>
    </row>
    <row r="123" spans="19:36" x14ac:dyDescent="0.15">
      <c r="AB123" s="9"/>
      <c r="AC123" s="56" t="s">
        <v>92</v>
      </c>
      <c r="AD123" s="233" t="str">
        <f>IF(AD$128*(AD141&gt;0),0.2*(IF(AD154&gt;0,SQRT(AD154),-SQRT(-AD154))),"")</f>
        <v/>
      </c>
      <c r="AE123" s="233" t="str">
        <f>IF(AE$128*(AE141&gt;0),0.2*(IF(AE154&gt;0,SQRT(AE154),-SQRT(-AE154))),"")</f>
        <v/>
      </c>
      <c r="AF123" s="233" t="str">
        <f>IF(AF$128*(AF141&gt;0),0.2*(IF(AF154&gt;0,SQRT(AF154),-SQRT(-AF154))),"")</f>
        <v/>
      </c>
      <c r="AG123" s="233" t="str">
        <f>IF(AG$128*(AG141&gt;0),0.2*(IF(AG154&gt;0,SQRT(AG154),-SQRT(-AG154))),"")</f>
        <v/>
      </c>
      <c r="AH123" s="233" t="str">
        <f>IF(AH$128*(AH141&gt;0),0.2*(IF(AH154&gt;0,SQRT(AH154),-SQRT(-AH154))),"")</f>
        <v/>
      </c>
      <c r="AI123" s="233" t="e">
        <f>IF(AI$128*(AI141&gt;0),0.2*IF(AI154&gt;0,SQRT(AI154),-SQRT(-AI154)),"")</f>
        <v>#REF!</v>
      </c>
    </row>
    <row r="124" spans="19:36" x14ac:dyDescent="0.15">
      <c r="AB124" s="9"/>
      <c r="AC124" s="56" t="s">
        <v>95</v>
      </c>
      <c r="AD124" s="235" t="str">
        <f t="shared" ref="AD124:AI124" si="45">IF(AD$128*(AD141&gt;0),0.2*SQRT(AD155),"")</f>
        <v/>
      </c>
      <c r="AE124" s="235" t="str">
        <f t="shared" si="45"/>
        <v/>
      </c>
      <c r="AF124" s="235" t="str">
        <f t="shared" si="45"/>
        <v/>
      </c>
      <c r="AG124" s="235" t="str">
        <f t="shared" si="45"/>
        <v/>
      </c>
      <c r="AH124" s="235" t="str">
        <f t="shared" si="45"/>
        <v/>
      </c>
      <c r="AI124" s="235" t="e">
        <f t="shared" si="45"/>
        <v>#REF!</v>
      </c>
    </row>
    <row r="125" spans="19:36" x14ac:dyDescent="0.15">
      <c r="AB125" s="9"/>
      <c r="AC125" s="231" t="s">
        <v>129</v>
      </c>
      <c r="AD125" s="58" t="str">
        <f>IF(AD$128,$D$26*SQRT(SUMPRODUCT(V$52:W$52,V$52:W$52,V$55:W$55)/SUM(V$55:W$55)),"")</f>
        <v/>
      </c>
      <c r="AE125" s="58" t="str">
        <f>IF(AE$128,$D$26*SQRT(SUMPRODUCT(W$52:X$52,W$52:X$52,W$55:X$55)/SUM(W$55:X$55)),"")</f>
        <v/>
      </c>
      <c r="AF125" s="58" t="str">
        <f>IF(AF$128,$D$26*SQRT(SUMPRODUCT(X$52:Y$52,X$52:Y$52,X$55:Y$55)/SUM(X$55:Y$55)),"")</f>
        <v/>
      </c>
      <c r="AG125" s="58" t="str">
        <f>IF(AG$128,$D$26*SQRT(SUMPRODUCT(Y$52:Z$52,Y$52:Z$52,Y$55:Z$55)/SUM(Y$55:Z$55)),"")</f>
        <v/>
      </c>
      <c r="AH125" s="58" t="str">
        <f>IF(AH$128,$D$26*SQRT(SUMPRODUCT(Z$52:AA$52,Z$52:AA$52,Z$55:AA$55)/SUM(Z$55:AA$55)),"")</f>
        <v/>
      </c>
      <c r="AI125" s="58" t="e">
        <f>$D$26*AB52</f>
        <v>#DIV/0!</v>
      </c>
    </row>
    <row r="126" spans="19:36" x14ac:dyDescent="0.15">
      <c r="AB126" s="9"/>
      <c r="AC126" s="56" t="s">
        <v>92</v>
      </c>
      <c r="AD126" s="233" t="str">
        <f t="shared" ref="AD126:AI126" si="46">IF(AD128,SQRT(AD146*AD125^2/CHIINV((1-$D$27/100)/2,AD146)),"")</f>
        <v/>
      </c>
      <c r="AE126" s="233" t="str">
        <f t="shared" si="46"/>
        <v/>
      </c>
      <c r="AF126" s="233" t="str">
        <f t="shared" si="46"/>
        <v/>
      </c>
      <c r="AG126" s="233" t="str">
        <f t="shared" si="46"/>
        <v/>
      </c>
      <c r="AH126" s="233" t="str">
        <f t="shared" si="46"/>
        <v/>
      </c>
      <c r="AI126" s="233" t="e">
        <f t="shared" si="46"/>
        <v>#REF!</v>
      </c>
    </row>
    <row r="127" spans="19:36" x14ac:dyDescent="0.15">
      <c r="AB127" s="9"/>
      <c r="AC127" s="56" t="s">
        <v>95</v>
      </c>
      <c r="AD127" s="235" t="str">
        <f t="shared" ref="AD127:AI127" si="47">IF(AD128,SQRT(AD146*AD125^2/CHIINV(1-(1-$D$27/100)/2,AD146)),"")</f>
        <v/>
      </c>
      <c r="AE127" s="235" t="str">
        <f t="shared" si="47"/>
        <v/>
      </c>
      <c r="AF127" s="235" t="str">
        <f t="shared" si="47"/>
        <v/>
      </c>
      <c r="AG127" s="235" t="str">
        <f t="shared" si="47"/>
        <v/>
      </c>
      <c r="AH127" s="235" t="str">
        <f t="shared" si="47"/>
        <v/>
      </c>
      <c r="AI127" s="235" t="e">
        <f t="shared" si="47"/>
        <v>#REF!</v>
      </c>
    </row>
    <row r="128" spans="19:36" x14ac:dyDescent="0.15">
      <c r="AB128" s="230"/>
      <c r="AC128" s="170" t="s">
        <v>75</v>
      </c>
      <c r="AD128" s="71">
        <f>IF(AND(V53&gt;0,W53&gt;0,ISNUMBER(V51),ISNUMBER(W51)),AD53-1,0)</f>
        <v>0</v>
      </c>
      <c r="AE128" s="71">
        <f>IF(AND(W53&gt;0,X53&gt;0,ISNUMBER(W51),ISNUMBER(X51)),AE53-1,0)</f>
        <v>0</v>
      </c>
      <c r="AF128" s="71">
        <f>IF(AND(X53&gt;0,Y53&gt;0,ISNUMBER(X51),ISNUMBER(Y51)),AF53-1,0)</f>
        <v>0</v>
      </c>
      <c r="AG128" s="71">
        <f>IF(AND(Y53&gt;0,Z53&gt;0,ISNUMBER(Y51),ISNUMBER(Z51)),AG53-1,0)</f>
        <v>0</v>
      </c>
      <c r="AH128" s="71">
        <f>IF(AND(Z53&gt;0,AA53&gt;0,ISNUMBER(Z51),ISNUMBER(AA51)),AH53-1,0)</f>
        <v>0</v>
      </c>
      <c r="AI128" s="71" t="e">
        <f>IF(COUNTIF(AD128:AH128,"&gt;0")=1,SUM(AD128:AH128),(1-0.22*SUM(V53:AA53)/(COUNTIF(V53:AA53,"&gt;0")*AJ51))*SUM(AD77:AH77))</f>
        <v>#REF!</v>
      </c>
    </row>
    <row r="129" spans="28:35" x14ac:dyDescent="0.15">
      <c r="AB129" s="65"/>
      <c r="AC129" s="170"/>
      <c r="AD129" s="57"/>
      <c r="AE129" s="57"/>
      <c r="AF129" s="57"/>
      <c r="AG129" s="57"/>
      <c r="AH129" s="57"/>
      <c r="AI129" s="236"/>
    </row>
    <row r="130" spans="28:35" x14ac:dyDescent="0.15">
      <c r="AB130" s="65"/>
      <c r="AC130" s="231" t="s">
        <v>130</v>
      </c>
      <c r="AD130" s="57" t="str">
        <f>IF(AD$128*(AD141&gt;0),AD115/SQRT((SUMPRODUCT(V$52:W$52,V$52:W$52,V$55:W$55)/SUM(V$55:W$55))-AD118^2),"")</f>
        <v/>
      </c>
      <c r="AE130" s="57" t="str">
        <f>IF(AE$128*(AE141&gt;0),AE115/SQRT((SUMPRODUCT(W$52:X$52,W$52:X$52,W$55:X$55)/SUM(W$55:X$55))-AE118^2),"")</f>
        <v/>
      </c>
      <c r="AF130" s="57" t="str">
        <f>IF(AF$128*(AF141&gt;0),AF115/SQRT((SUMPRODUCT(X$52:Y$52,X$52:Y$52,X$55:Y$55)/SUM(X$55:Y$55))-AF118^2),"")</f>
        <v/>
      </c>
      <c r="AG130" s="57" t="str">
        <f>IF(AG$128*(AG141&gt;0),AG115/SQRT((SUMPRODUCT(Y$52:Z$52,Y$52:Z$52,Y$55:Z$55)/SUM(Y$55:Z$55))-AG118^2),"")</f>
        <v/>
      </c>
      <c r="AH130" s="57" t="str">
        <f>IF(AH$128*(AH141&gt;0),AH115/SQRT((SUMPRODUCT(Z$52:AA$52,Z$52:AA$52,Z$55:AA$55)/SUM(Z$55:AA$55))-AH118^2),"")</f>
        <v/>
      </c>
      <c r="AI130" s="236"/>
    </row>
    <row r="131" spans="28:35" x14ac:dyDescent="0.15">
      <c r="AB131" s="65"/>
      <c r="AC131" s="56" t="s">
        <v>92</v>
      </c>
      <c r="AD131" s="237" t="str">
        <f>IF(AD$128*(AD141&gt;0),AD116/SQRT((SUMPRODUCT(V$52:W$52,V$52:W$52,V$55:W$55)/SUM(V$55:W$55))-AD118^2),"")</f>
        <v/>
      </c>
      <c r="AE131" s="237" t="str">
        <f>IF(AE$128*(AE141&gt;0),AE116/SQRT((SUMPRODUCT(W$52:X$52,W$52:X$52,W$55:X$55)/SUM(W$55:X$55))-AE118^2),"")</f>
        <v/>
      </c>
      <c r="AF131" s="237" t="str">
        <f>IF(AF$128*(AF141&gt;0),AF116/SQRT((SUMPRODUCT(X$52:Y$52,X$52:Y$52,X$55:Y$55)/SUM(X$55:Y$55))-AF118^2),"")</f>
        <v/>
      </c>
      <c r="AG131" s="237" t="str">
        <f>IF(AG$128*(AG141&gt;0),AG116/SQRT((SUMPRODUCT(Y$52:Z$52,Y$52:Z$52,Y$55:Z$55)/SUM(Y$55:Z$55))-AG118^2),"")</f>
        <v/>
      </c>
      <c r="AH131" s="237" t="str">
        <f>IF(AH$128*(AH141&gt;0),AH116/SQRT((SUMPRODUCT(Z$52:AA$52,Z$52:AA$52,Z$55:AA$55)/SUM(Z$55:AA$55))-AH118^2),"")</f>
        <v/>
      </c>
      <c r="AI131" s="236"/>
    </row>
    <row r="132" spans="28:35" x14ac:dyDescent="0.15">
      <c r="AB132" s="65"/>
      <c r="AC132" s="56" t="s">
        <v>95</v>
      </c>
      <c r="AD132" s="170" t="str">
        <f>IF(AD$128*(AD141&gt;0),AD117/SQRT((SUMPRODUCT(V$52:W$52,V$52:W$52,V$55:W$55)/SUM(V$55:W$55))-AD118^2),"")</f>
        <v/>
      </c>
      <c r="AE132" s="170" t="str">
        <f>IF(AE$128*(AE141&gt;0),AE117/SQRT((SUMPRODUCT(W$52:X$52,W$52:X$52,W$55:X$55)/SUM(W$55:X$55))-AE118^2),"")</f>
        <v/>
      </c>
      <c r="AF132" s="170" t="str">
        <f>IF(AF$128*(AF141&gt;0),AF117/SQRT((SUMPRODUCT(X$52:Y$52,X$52:Y$52,X$55:Y$55)/SUM(X$55:Y$55))-AF118^2),"")</f>
        <v/>
      </c>
      <c r="AG132" s="170" t="str">
        <f>IF(AG$128*(AG141&gt;0),AG117/SQRT((SUMPRODUCT(Y$52:Z$52,Y$52:Z$52,Y$55:Z$55)/SUM(Y$55:Z$55))-AG118^2),"")</f>
        <v/>
      </c>
      <c r="AH132" s="170" t="str">
        <f>IF(AH$128*(AH141&gt;0),AH117/SQRT((SUMPRODUCT(Z$52:AA$52,Z$52:AA$52,Z$55:AA$55)/SUM(Z$55:AA$55))-AH118^2),"")</f>
        <v/>
      </c>
      <c r="AI132" s="236"/>
    </row>
    <row r="133" spans="28:35" x14ac:dyDescent="0.15">
      <c r="AB133" s="65"/>
      <c r="AC133" s="231" t="s">
        <v>131</v>
      </c>
      <c r="AD133" s="57" t="str">
        <f>IF(AD$128*(AD141&gt;0),AD118/SQRT((SUMPRODUCT(V$52:W$52,V$52:W$52,V$55:W$55)/SUM(V$55:W$55))-AD118^2),"")</f>
        <v/>
      </c>
      <c r="AE133" s="57" t="str">
        <f>IF(AE$128*(AE141&gt;0),AE118/SQRT((SUMPRODUCT(W$52:X$52,W$52:X$52,W$55:X$55)/SUM(W$55:X$55))-AE118^2),"")</f>
        <v/>
      </c>
      <c r="AF133" s="57" t="str">
        <f>IF(AF$128*(AF141&gt;0),AF118/SQRT((SUMPRODUCT(X$52:Y$52,X$52:Y$52,X$55:Y$55)/SUM(X$55:Y$55))-AF118^2),"")</f>
        <v/>
      </c>
      <c r="AG133" s="57" t="str">
        <f>IF(AG$128*(AG141&gt;0),AG118/SQRT((SUMPRODUCT(Y$52:Z$52,Y$52:Z$52,Y$55:Z$55)/SUM(Y$55:Z$55))-AG118^2),"")</f>
        <v/>
      </c>
      <c r="AH133" s="57" t="str">
        <f>IF(AH$128*(AH141&gt;0),AH118/SQRT((SUMPRODUCT(Z$52:AA$52,Z$52:AA$52,Z$55:AA$55)/SUM(Z$55:AA$55))-AH118^2),"")</f>
        <v/>
      </c>
      <c r="AI133" s="57" t="str">
        <f>IF(ISNUMBER(AI$128),AI118/SQRT(AB$52^2),"")</f>
        <v/>
      </c>
    </row>
    <row r="134" spans="28:35" x14ac:dyDescent="0.15">
      <c r="AB134" s="65"/>
      <c r="AC134" s="56" t="s">
        <v>92</v>
      </c>
      <c r="AD134" s="237" t="str">
        <f>IF(AD$128*(AD141&gt;0),AD119/SQRT((SUMPRODUCT(V$52:W$52,V$52:W$52,V$55:W$55)/SUM(V$55:W$55))-AD118^2),"")</f>
        <v/>
      </c>
      <c r="AE134" s="237" t="str">
        <f>IF(AE$128*(AE141&gt;0),AE119/SQRT((SUMPRODUCT(W$52:X$52,W$52:X$52,W$55:X$55)/SUM(W$55:X$55))-AE118^2),"")</f>
        <v/>
      </c>
      <c r="AF134" s="237" t="str">
        <f>IF(AF$128*(AF141&gt;0),AF119/SQRT((SUMPRODUCT(X$52:Y$52,X$52:Y$52,X$55:Y$55)/SUM(X$55:Y$55))-AF118^2),"")</f>
        <v/>
      </c>
      <c r="AG134" s="237" t="str">
        <f>IF(AG$128*(AG141&gt;0),AG119/SQRT((SUMPRODUCT(Y$52:Z$52,Y$52:Z$52,Y$55:Z$55)/SUM(Y$55:Z$55))-AG118^2),"")</f>
        <v/>
      </c>
      <c r="AH134" s="237" t="str">
        <f>IF(AH$128*(AH141&gt;0),AH119/SQRT((SUMPRODUCT(Z$52:AA$52,Z$52:AA$52,Z$55:AA$55)/SUM(Z$55:AA$55))-AH118^2),"")</f>
        <v/>
      </c>
      <c r="AI134" s="237" t="str">
        <f>IF(ISNUMBER(AI$128),AI119/SQRT(AB$52^2),"")</f>
        <v/>
      </c>
    </row>
    <row r="135" spans="28:35" x14ac:dyDescent="0.15">
      <c r="AB135" s="65"/>
      <c r="AC135" s="56" t="s">
        <v>95</v>
      </c>
      <c r="AD135" s="170" t="str">
        <f>IF(AD$128*(AD141&gt;0),AD120/SQRT((SUMPRODUCT(V$52:W$52,V$52:W$52,V$55:W$55)/SUM(V$55:W$55))-AD118^2),"")</f>
        <v/>
      </c>
      <c r="AE135" s="170" t="str">
        <f>IF(AE$128*(AE141&gt;0),AE120/SQRT((SUMPRODUCT(W$52:X$52,W$52:X$52,W$55:X$55)/SUM(W$55:X$55))-AE118^2),"")</f>
        <v/>
      </c>
      <c r="AF135" s="170" t="str">
        <f>IF(AF$128*(AF141&gt;0),AF120/SQRT((SUMPRODUCT(X$52:Y$52,X$52:Y$52,X$55:Y$55)/SUM(X$55:Y$55))-AF118^2),"")</f>
        <v/>
      </c>
      <c r="AG135" s="170" t="str">
        <f>IF(AG$128*(AG141&gt;0),AG120/SQRT((SUMPRODUCT(Y$52:Z$52,Y$52:Z$52,Y$55:Z$55)/SUM(Y$55:Z$55))-AG118^2),"")</f>
        <v/>
      </c>
      <c r="AH135" s="170" t="str">
        <f>IF(AH$128*(AH141&gt;0),AH120/SQRT((SUMPRODUCT(Z$52:AA$52,Z$52:AA$52,Z$55:AA$55)/SUM(Z$55:AA$55))-AH118^2),"")</f>
        <v/>
      </c>
      <c r="AI135" s="170" t="str">
        <f>IF(ISNUMBER(AI$128),AI120/SQRT(AB$52^2),"")</f>
        <v/>
      </c>
    </row>
    <row r="136" spans="28:35" x14ac:dyDescent="0.15">
      <c r="AB136" s="65"/>
      <c r="AC136" s="65"/>
      <c r="AD136" s="65"/>
      <c r="AE136" s="65"/>
      <c r="AF136" s="65"/>
      <c r="AG136" s="65"/>
      <c r="AH136" s="65"/>
      <c r="AI136" s="65"/>
    </row>
    <row r="137" spans="28:35" x14ac:dyDescent="0.15">
      <c r="AB137" s="230"/>
      <c r="AC137" s="231" t="s">
        <v>132</v>
      </c>
      <c r="AD137" s="238" t="str">
        <f>IF(AD128&gt;1,CORREL(#REF!,#REF!)*(1+(1-CORREL(#REF!,#REF!)^2)/2/(L53-3)),"")</f>
        <v/>
      </c>
      <c r="AE137" s="238" t="str">
        <f>IF(AE128&gt;1,CORREL(#REF!,#REF!)*(1+(1-CORREL(#REF!,#REF!)^2)/2/(M53-3)),"")</f>
        <v/>
      </c>
      <c r="AF137" s="238" t="str">
        <f>IF(AF128&gt;1,CORREL(#REF!,#REF!)*(1+(1-CORREL(#REF!,#REF!)^2)/2/(N53-3)),"")</f>
        <v/>
      </c>
      <c r="AG137" s="238" t="str">
        <f>IF(AG128&gt;1,CORREL(#REF!,#REF!)*(1+(1-CORREL(#REF!,#REF!)^2)/2/(O53-3)),"")</f>
        <v/>
      </c>
      <c r="AH137" s="238" t="str">
        <f>IF(AH128&gt;1,CORREL(#REF!,#REF!)*(1+(1-CORREL(#REF!,#REF!)^2)/2/(P53-3)),"")</f>
        <v/>
      </c>
      <c r="AI137" s="238" t="e">
        <f>FISHERINV(AI150)</f>
        <v>#DIV/0!</v>
      </c>
    </row>
    <row r="138" spans="28:35" x14ac:dyDescent="0.15">
      <c r="AB138" s="65"/>
      <c r="AC138" s="56" t="s">
        <v>92</v>
      </c>
      <c r="AD138" s="237" t="str">
        <f>IF(AD128&gt;2,(EXP(2*(0.5*LN((1+AD137)/(1-AD137))-NORMINV(1-(1-$D$27/100)/2,0,1)/SQRT(COUNT(#REF!)-3)))-1)/(EXP(2*(0.5*LN((1+AD137)/(1-AD137))-NORMINV(1-(1-$D$27/100)/2,0,1)/SQRT(COUNT(#REF!)-3)))+1),"")</f>
        <v/>
      </c>
      <c r="AE138" s="237" t="str">
        <f>IF(AE128&gt;2,(EXP(2*(0.5*LN((1+AE137)/(1-AE137))-NORMINV(1-(1-$D$27/100)/2,0,1)/SQRT(COUNT(#REF!)-3)))-1)/(EXP(2*(0.5*LN((1+AE137)/(1-AE137))-NORMINV(1-(1-$D$27/100)/2,0,1)/SQRT(COUNT(#REF!)-3)))+1),"")</f>
        <v/>
      </c>
      <c r="AF138" s="237" t="str">
        <f>IF(AF128&gt;2,(EXP(2*(0.5*LN((1+AF137)/(1-AF137))-NORMINV(1-(1-$D$27/100)/2,0,1)/SQRT(COUNT(#REF!)-3)))-1)/(EXP(2*(0.5*LN((1+AF137)/(1-AF137))-NORMINV(1-(1-$D$27/100)/2,0,1)/SQRT(COUNT(#REF!)-3)))+1),"")</f>
        <v/>
      </c>
      <c r="AG138" s="237" t="str">
        <f>IF(AG128&gt;2,(EXP(2*(0.5*LN((1+AG137)/(1-AG137))-NORMINV(1-(1-$D$27/100)/2,0,1)/SQRT(COUNT(#REF!)-3)))-1)/(EXP(2*(0.5*LN((1+AG137)/(1-AG137))-NORMINV(1-(1-$D$27/100)/2,0,1)/SQRT(COUNT(#REF!)-3)))+1),"")</f>
        <v/>
      </c>
      <c r="AH138" s="237" t="str">
        <f>IF(AH128&gt;2,(EXP(2*(0.5*LN((1+AH137)/(1-AH137))-NORMINV(1-(1-$D$27/100)/2,0,1)/SQRT(COUNT(#REF!)-3)))-1)/(EXP(2*(0.5*LN((1+AH137)/(1-AH137))-NORMINV(1-(1-$D$27/100)/2,0,1)/SQRT(COUNT(#REF!)-3)))+1),"")</f>
        <v/>
      </c>
      <c r="AI138" s="170"/>
    </row>
    <row r="139" spans="28:35" x14ac:dyDescent="0.15">
      <c r="AB139" s="65"/>
      <c r="AC139" s="56" t="s">
        <v>95</v>
      </c>
      <c r="AD139" s="236" t="str">
        <f>IF(AD128&gt;2,(EXP(2*(0.5*LN((1+AD137)/(1-AD137))+NORMINV(1-(1-$D$27/100)/2,0,1)/SQRT(COUNT(#REF!)-3)))-1)/(EXP(2*(0.5*LN((1+AD137)/(1-AD137))+NORMINV(1-(1-$D$27/100)/2,0,1)/SQRT(COUNT(#REF!)-3)))+1),"")</f>
        <v/>
      </c>
      <c r="AE139" s="236" t="str">
        <f>IF(AE128&gt;2,(EXP(2*(0.5*LN((1+AE137)/(1-AE137))+NORMINV(1-(1-$D$27/100)/2,0,1)/SQRT(COUNT(#REF!)-3)))-1)/(EXP(2*(0.5*LN((1+AE137)/(1-AE137))+NORMINV(1-(1-$D$27/100)/2,0,1)/SQRT(COUNT(#REF!)-3)))+1),"")</f>
        <v/>
      </c>
      <c r="AF139" s="236" t="str">
        <f>IF(AF128&gt;2,(EXP(2*(0.5*LN((1+AF137)/(1-AF137))+NORMINV(1-(1-$D$27/100)/2,0,1)/SQRT(COUNT(#REF!)-3)))-1)/(EXP(2*(0.5*LN((1+AF137)/(1-AF137))+NORMINV(1-(1-$D$27/100)/2,0,1)/SQRT(COUNT(#REF!)-3)))+1),"")</f>
        <v/>
      </c>
      <c r="AG139" s="236" t="str">
        <f>IF(AG128&gt;2,(EXP(2*(0.5*LN((1+AG137)/(1-AG137))+NORMINV(1-(1-$D$27/100)/2,0,1)/SQRT(COUNT(#REF!)-3)))-1)/(EXP(2*(0.5*LN((1+AG137)/(1-AG137))+NORMINV(1-(1-$D$27/100)/2,0,1)/SQRT(COUNT(#REF!)-3)))+1),"")</f>
        <v/>
      </c>
      <c r="AH139" s="236" t="str">
        <f>IF(AH128&gt;2,(EXP(2*(0.5*LN((1+AH137)/(1-AH137))+NORMINV(1-(1-$D$27/100)/2,0,1)/SQRT(COUNT(#REF!)-3)))-1)/(EXP(2*(0.5*LN((1+AH137)/(1-AH137))+NORMINV(1-(1-$D$27/100)/2,0,1)/SQRT(COUNT(#REF!)-3)))+1),"")</f>
        <v/>
      </c>
      <c r="AI139" s="170"/>
    </row>
    <row r="140" spans="28:35" x14ac:dyDescent="0.15">
      <c r="AB140" s="65"/>
      <c r="AC140" s="56" t="s">
        <v>102</v>
      </c>
      <c r="AD140" s="57" t="str">
        <f>IF(AD128&gt;2,1+(1-CORREL(#REF!,#REF!)^2)/2/(L53-3),"")</f>
        <v/>
      </c>
      <c r="AE140" s="57" t="str">
        <f>IF(AE128&gt;2,1+(1-CORREL(#REF!,#REF!)^2)/2/(M53-3),"")</f>
        <v/>
      </c>
      <c r="AF140" s="57" t="str">
        <f>IF(AF128&gt;2,1+(1-CORREL(#REF!,#REF!)^2)/2/(N53-3),"")</f>
        <v/>
      </c>
      <c r="AG140" s="57" t="str">
        <f>IF(AG128&gt;2,1+(1-CORREL(#REF!,#REF!)^2)/2/(O53-3),"")</f>
        <v/>
      </c>
      <c r="AH140" s="57" t="str">
        <f>IF(AH128&gt;2,1+(1-CORREL(#REF!,#REF!)^2)/2/(P53-3),"")</f>
        <v/>
      </c>
      <c r="AI140" s="170"/>
    </row>
    <row r="141" spans="28:35" x14ac:dyDescent="0.15">
      <c r="AB141" s="65"/>
      <c r="AC141" s="231" t="s">
        <v>133</v>
      </c>
      <c r="AD141" s="238" t="str">
        <f>IF(AD128,(1-AD118^2/(SUMPRODUCT(V52:W52,V52:W52,V55:W55)/SUM(V55:W55)))*(1+(1-(1-AD118^2/(SUMPRODUCT(V52:W52,V52:W52,V55:W55)/SUM(V55:W55)))^2)/(V53+W53-AD53-3)),"")</f>
        <v/>
      </c>
      <c r="AE141" s="238" t="str">
        <f>IF(AE128,(1-AE118^2/(SUMPRODUCT(W52:X52,W52:X52,W55:X55)/SUM(W55:X55)))*(1+(1-(1-AE118^2/(SUMPRODUCT(W52:X52,W52:X52,W55:X55)/SUM(W55:X55)))^2)/(W53+X53-AE53-3)),"")</f>
        <v/>
      </c>
      <c r="AF141" s="238" t="str">
        <f>IF(AF128,(1-AF118^2/(SUMPRODUCT(X52:Y52,X52:Y52,X55:Y55)/SUM(X55:Y55)))*(1+(1-(1-AF118^2/(SUMPRODUCT(X52:Y52,X52:Y52,X55:Y55)/SUM(X55:Y55)))^2)/(X53+Y53-AF53-3)),"")</f>
        <v/>
      </c>
      <c r="AG141" s="238" t="str">
        <f>IF(AG128,(1-AG118^2/(SUMPRODUCT(Y52:Z52,Y52:Z52,Y55:Z55)/SUM(Y55:Z55)))*(1+(1-(1-AG118^2/(SUMPRODUCT(Y52:Z52,Y52:Z52,Y55:Z55)/SUM(Y55:Z55)))^2)/(Y53+Z53-AG53-3)),"")</f>
        <v/>
      </c>
      <c r="AH141" s="238" t="str">
        <f>IF(AH128,(1-AH118^2/(SUMPRODUCT(Z52:AA52,Z52:AA52,Z55:AA55)/SUM(Z55:AA55)))*(1+(1-(1-AH118^2/(SUMPRODUCT(Z52:AA52,Z52:AA52,Z55:AA55)/SUM(Z55:AA55)))^2)/(Z53+AA53-AH53-3)),"")</f>
        <v/>
      </c>
      <c r="AI141" s="57" t="e">
        <f>(1-AI118^2/AB52^2)*(1+(1-(1-AI118^2/AB52^2)^2)/(AJ51-3))</f>
        <v>#REF!</v>
      </c>
    </row>
    <row r="142" spans="28:35" x14ac:dyDescent="0.15">
      <c r="AB142" s="65"/>
      <c r="AC142" s="56" t="s">
        <v>92</v>
      </c>
      <c r="AD142" s="237" t="str">
        <f t="shared" ref="AD142:AI142" si="48">IF(AD128,(AD148-1)/(AD148+AD144-1),"")</f>
        <v/>
      </c>
      <c r="AE142" s="237" t="str">
        <f t="shared" si="48"/>
        <v/>
      </c>
      <c r="AF142" s="237" t="str">
        <f t="shared" si="48"/>
        <v/>
      </c>
      <c r="AG142" s="237" t="str">
        <f t="shared" si="48"/>
        <v/>
      </c>
      <c r="AH142" s="237" t="str">
        <f t="shared" si="48"/>
        <v/>
      </c>
      <c r="AI142" s="237" t="e">
        <f t="shared" si="48"/>
        <v>#REF!</v>
      </c>
    </row>
    <row r="143" spans="28:35" x14ac:dyDescent="0.15">
      <c r="AB143" s="65"/>
      <c r="AC143" s="56" t="s">
        <v>95</v>
      </c>
      <c r="AD143" s="170" t="str">
        <f t="shared" ref="AD143:AI143" si="49">IF(AD128,(AD149-1)/(AD149+AD144-1),"")</f>
        <v/>
      </c>
      <c r="AE143" s="170" t="str">
        <f t="shared" si="49"/>
        <v/>
      </c>
      <c r="AF143" s="170" t="str">
        <f t="shared" si="49"/>
        <v/>
      </c>
      <c r="AG143" s="170" t="str">
        <f t="shared" si="49"/>
        <v/>
      </c>
      <c r="AH143" s="170" t="str">
        <f t="shared" si="49"/>
        <v/>
      </c>
      <c r="AI143" s="170" t="e">
        <f t="shared" si="49"/>
        <v>#REF!</v>
      </c>
    </row>
    <row r="144" spans="28:35" x14ac:dyDescent="0.15">
      <c r="AB144" s="65"/>
      <c r="AC144" s="56" t="s">
        <v>114</v>
      </c>
      <c r="AD144" s="58" t="str">
        <f>IF(AD128,1+AD128/(V53+W53-AD53-1),"")</f>
        <v/>
      </c>
      <c r="AE144" s="58" t="str">
        <f>IF(AE128,1+AE128/(W53+X53-AE53-1),"")</f>
        <v/>
      </c>
      <c r="AF144" s="58" t="str">
        <f>IF(AF128,1+AF128/(X53+Y53-AF53-1),"")</f>
        <v/>
      </c>
      <c r="AG144" s="58" t="str">
        <f>IF(AG128,1+AG128/(Y53+Z53-AG53-1),"")</f>
        <v/>
      </c>
      <c r="AH144" s="58" t="str">
        <f>IF(AH128,1+AH128/(Z53+AA53-AH53-1),"")</f>
        <v/>
      </c>
      <c r="AI144" s="58" t="e">
        <f>IF(AI128,1+AI128/(AJ51-1),"")</f>
        <v>#REF!</v>
      </c>
    </row>
    <row r="145" spans="28:35" x14ac:dyDescent="0.15">
      <c r="AB145" s="65"/>
      <c r="AC145" s="56" t="s">
        <v>115</v>
      </c>
      <c r="AD145" s="58" t="str">
        <f t="shared" ref="AD145:AI145" si="50">IF(AD128,1+AD141*AD144/(1-AD141),"")</f>
        <v/>
      </c>
      <c r="AE145" s="58" t="str">
        <f t="shared" si="50"/>
        <v/>
      </c>
      <c r="AF145" s="58" t="str">
        <f t="shared" si="50"/>
        <v/>
      </c>
      <c r="AG145" s="58" t="str">
        <f t="shared" si="50"/>
        <v/>
      </c>
      <c r="AH145" s="58" t="str">
        <f t="shared" si="50"/>
        <v/>
      </c>
      <c r="AI145" s="58" t="e">
        <f t="shared" si="50"/>
        <v>#REF!</v>
      </c>
    </row>
    <row r="146" spans="28:35" x14ac:dyDescent="0.15">
      <c r="AB146" s="65"/>
      <c r="AC146" s="56" t="s">
        <v>116</v>
      </c>
      <c r="AD146" s="71">
        <f>AD128</f>
        <v>0</v>
      </c>
      <c r="AE146" s="43" t="str">
        <f>IF(AE128,W53+X53-AE53-1,"")</f>
        <v/>
      </c>
      <c r="AF146" s="43" t="str">
        <f>IF(AF128,X53+Y53-AF53-1,"")</f>
        <v/>
      </c>
      <c r="AG146" s="43" t="str">
        <f>IF(AG128,Y53+Z53-AG53-1,"")</f>
        <v/>
      </c>
      <c r="AH146" s="43" t="str">
        <f>IF(AH128,Z53+AA53-AH53-1,"")</f>
        <v/>
      </c>
      <c r="AI146" s="43" t="e">
        <f>IF(AI128,AJ51-1,"")</f>
        <v>#REF!</v>
      </c>
    </row>
    <row r="147" spans="28:35" x14ac:dyDescent="0.15">
      <c r="AB147" s="65"/>
      <c r="AC147" s="56" t="s">
        <v>117</v>
      </c>
      <c r="AD147" s="71">
        <f t="shared" ref="AD147:AI147" si="51">AD128</f>
        <v>0</v>
      </c>
      <c r="AE147" s="71">
        <f t="shared" si="51"/>
        <v>0</v>
      </c>
      <c r="AF147" s="71">
        <f t="shared" si="51"/>
        <v>0</v>
      </c>
      <c r="AG147" s="71">
        <f t="shared" si="51"/>
        <v>0</v>
      </c>
      <c r="AH147" s="71">
        <f t="shared" si="51"/>
        <v>0</v>
      </c>
      <c r="AI147" s="71" t="e">
        <f t="shared" si="51"/>
        <v>#REF!</v>
      </c>
    </row>
    <row r="148" spans="28:35" x14ac:dyDescent="0.15">
      <c r="AB148" s="65"/>
      <c r="AC148" s="56" t="s">
        <v>118</v>
      </c>
      <c r="AD148" s="58" t="str">
        <f t="shared" ref="AD148:AI148" si="52">IF(AD128,AD145/FINV((1-$D$27/100)/2,AD146,AD147),"")</f>
        <v/>
      </c>
      <c r="AE148" s="58" t="str">
        <f t="shared" si="52"/>
        <v/>
      </c>
      <c r="AF148" s="58" t="str">
        <f t="shared" si="52"/>
        <v/>
      </c>
      <c r="AG148" s="58" t="str">
        <f t="shared" si="52"/>
        <v/>
      </c>
      <c r="AH148" s="58" t="str">
        <f t="shared" si="52"/>
        <v/>
      </c>
      <c r="AI148" s="58" t="e">
        <f t="shared" si="52"/>
        <v>#REF!</v>
      </c>
    </row>
    <row r="149" spans="28:35" x14ac:dyDescent="0.15">
      <c r="AB149" s="239"/>
      <c r="AC149" s="56" t="s">
        <v>119</v>
      </c>
      <c r="AD149" s="58" t="str">
        <f t="shared" ref="AD149:AI149" si="53">IF(AD128,AD145*FINV((1-$D$27/100)/2,AD147,AD146),"")</f>
        <v/>
      </c>
      <c r="AE149" s="58" t="str">
        <f t="shared" si="53"/>
        <v/>
      </c>
      <c r="AF149" s="58" t="str">
        <f t="shared" si="53"/>
        <v/>
      </c>
      <c r="AG149" s="58" t="str">
        <f t="shared" si="53"/>
        <v/>
      </c>
      <c r="AH149" s="58" t="str">
        <f t="shared" si="53"/>
        <v/>
      </c>
      <c r="AI149" s="58" t="e">
        <f t="shared" si="53"/>
        <v>#REF!</v>
      </c>
    </row>
    <row r="150" spans="28:35" x14ac:dyDescent="0.15">
      <c r="AB150" s="240"/>
      <c r="AC150" s="241" t="s">
        <v>120</v>
      </c>
      <c r="AD150" s="242" t="str">
        <f>IF((AD59&gt;3)*AD128,FISHER(AD137),"")</f>
        <v/>
      </c>
      <c r="AE150" s="242" t="str">
        <f>IF((AE59&gt;3)*AE128,FISHER(AE137),"")</f>
        <v/>
      </c>
      <c r="AF150" s="242" t="str">
        <f>IF((AF59&gt;3)*AF128,FISHER(AF137),"")</f>
        <v/>
      </c>
      <c r="AG150" s="242" t="str">
        <f>IF((AG59&gt;3)*AG128,FISHER(AG137),"")</f>
        <v/>
      </c>
      <c r="AH150" s="242" t="str">
        <f>IF((AH59&gt;3)*AH128,FISHER(AH137),"")</f>
        <v/>
      </c>
      <c r="AI150" s="242" t="e">
        <f>SUMPRODUCT(AD150:AH150,AD151:AH151)/SUM(AD151:AH151)</f>
        <v>#DIV/0!</v>
      </c>
    </row>
    <row r="151" spans="28:35" x14ac:dyDescent="0.15">
      <c r="AB151" s="240"/>
      <c r="AC151" s="243" t="s">
        <v>121</v>
      </c>
      <c r="AD151" s="244" t="str">
        <f>IF((AD59&gt;3)*AD128,(AD59-3),"")</f>
        <v/>
      </c>
      <c r="AE151" s="244" t="str">
        <f>IF((AE59&gt;3)*AE128,(AE59-3),"")</f>
        <v/>
      </c>
      <c r="AF151" s="244" t="str">
        <f>IF((AF59&gt;3)*AF128,(AF59-3),"")</f>
        <v/>
      </c>
      <c r="AG151" s="244" t="str">
        <f>IF((AG59&gt;3)*AG128,(AG59-3),"")</f>
        <v/>
      </c>
      <c r="AH151" s="244" t="str">
        <f>IF((AH59&gt;3)*AH128,(AH59-3),"")</f>
        <v/>
      </c>
      <c r="AI151" s="244"/>
    </row>
    <row r="152" spans="28:35" x14ac:dyDescent="0.15">
      <c r="AB152" s="240"/>
      <c r="AC152" s="243" t="s">
        <v>122</v>
      </c>
      <c r="AD152" s="244" t="str">
        <f>IF(AD$128*(AD141&gt;0),(SUMPRODUCT(V$52:W$52,V$52:W$52,V$55:W$55)/SUM(V$55:W$55))-AD118^2,"")</f>
        <v/>
      </c>
      <c r="AE152" s="244" t="str">
        <f>IF(AE$128*(AE141&gt;0),(SUMPRODUCT(W$52:X$52,W$52:X$52,W$55:X$55)/SUM(W$55:X$55))-AE118^2,"")</f>
        <v/>
      </c>
      <c r="AF152" s="244" t="str">
        <f>IF(AF$128*(AF141&gt;0),(SUMPRODUCT(X$52:Y$52,X$52:Y$52,X$55:Y$55)/SUM(X$55:Y$55))-AF118^2,"")</f>
        <v/>
      </c>
      <c r="AG152" s="244" t="str">
        <f>IF(AG$128*(AG141&gt;0),(SUMPRODUCT(Y$52:Z$52,Y$52:Z$52,Y$55:Z$55)/SUM(Y$55:Z$55))-AG118^2,"")</f>
        <v/>
      </c>
      <c r="AH152" s="244" t="str">
        <f>IF(AH$128*(AH141&gt;0),(SUMPRODUCT(Z$52:AA$52,Z$52:AA$52,Z$55:AA$55)/SUM(Z$55:AA$55))-AH118^2,"")</f>
        <v/>
      </c>
      <c r="AI152" s="244" t="e">
        <f>IF(AI$128*(AI141&gt;0),AB52^2-AI118^2,"")</f>
        <v>#REF!</v>
      </c>
    </row>
    <row r="153" spans="28:35" x14ac:dyDescent="0.15">
      <c r="AB153" s="240"/>
      <c r="AC153" s="243" t="s">
        <v>123</v>
      </c>
      <c r="AD153" s="244" t="str">
        <f>IF(AD$128*(AD141&gt;0),SQRT(2*((SUMPRODUCT(V$52:W$52,V$52:W$52,V$55:W$55)/SUM(V$55:W$55))^2/AD146-AD128^4/AD147)),"")</f>
        <v/>
      </c>
      <c r="AE153" s="244" t="str">
        <f>IF(AE$128*(AE141&gt;0),SQRT(2*((SUMPRODUCT(W$52:X$52,W$52:X$52,W$55:X$55)/SUM(W$55:X$55))^2/AE146-AE128^4/AE147)),"")</f>
        <v/>
      </c>
      <c r="AF153" s="244" t="str">
        <f>IF(AF$128*(AF141&gt;0),SQRT(2*((SUMPRODUCT(X$52:Y$52,X$52:Y$52,X$55:Y$55)/SUM(X$55:Y$55))^2/AF146-AF128^4/AF147)),"")</f>
        <v/>
      </c>
      <c r="AG153" s="244" t="str">
        <f>IF(AG$128*(AG141&gt;0),SQRT(2*((SUMPRODUCT(Y$52:Z$52,Y$52:Z$52,Y$55:Z$55)/SUM(Y$55:Z$55))^2/AG146-AG128^4/AG147)),"")</f>
        <v/>
      </c>
      <c r="AH153" s="244" t="str">
        <f>IF(AH$128*(AH141&gt;0),SQRT(2*((SUMPRODUCT(Z$52:AA$52,Z$52:AA$52,Z$55:AA$55)/SUM(Z$55:AA$55))^2/AH146-AH128^4/AH147)),"")</f>
        <v/>
      </c>
      <c r="AI153" s="244" t="e">
        <f>IF(AI$128*(AI141&gt;0),SQRT(2*AB52^4/AI146-AI118^4/AI147),"")</f>
        <v>#REF!</v>
      </c>
    </row>
    <row r="154" spans="28:35" x14ac:dyDescent="0.15">
      <c r="AB154" s="240"/>
      <c r="AC154" s="243" t="s">
        <v>124</v>
      </c>
      <c r="AD154" s="244" t="str">
        <f t="shared" ref="AD154:AI154" si="54">IF(AD$128*(AD141&gt;0),AD152+NORMSINV((100-$D$27)/100/2)*AD153,"")</f>
        <v/>
      </c>
      <c r="AE154" s="244" t="str">
        <f t="shared" si="54"/>
        <v/>
      </c>
      <c r="AF154" s="244" t="str">
        <f t="shared" si="54"/>
        <v/>
      </c>
      <c r="AG154" s="244" t="str">
        <f t="shared" si="54"/>
        <v/>
      </c>
      <c r="AH154" s="244" t="str">
        <f t="shared" si="54"/>
        <v/>
      </c>
      <c r="AI154" s="244" t="e">
        <f t="shared" si="54"/>
        <v>#REF!</v>
      </c>
    </row>
    <row r="155" spans="28:35" x14ac:dyDescent="0.15">
      <c r="AB155" s="240"/>
      <c r="AC155" s="243" t="s">
        <v>125</v>
      </c>
      <c r="AD155" s="244" t="str">
        <f t="shared" ref="AD155:AI155" si="55">IF(AD$128*(AD141&gt;0),AD152-NORMSINV((100-$D$27)/100/2)*AD153,"")</f>
        <v/>
      </c>
      <c r="AE155" s="244" t="str">
        <f t="shared" si="55"/>
        <v/>
      </c>
      <c r="AF155" s="244" t="str">
        <f t="shared" si="55"/>
        <v/>
      </c>
      <c r="AG155" s="244" t="str">
        <f t="shared" si="55"/>
        <v/>
      </c>
      <c r="AH155" s="244" t="str">
        <f t="shared" si="55"/>
        <v/>
      </c>
      <c r="AI155" s="244" t="e">
        <f t="shared" si="55"/>
        <v>#REF!</v>
      </c>
    </row>
  </sheetData>
  <mergeCells count="2">
    <mergeCell ref="J77:K77"/>
    <mergeCell ref="AB94:AC94"/>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61893-AFDF-E141-AB6B-4C594EBCFD34}">
  <dimension ref="A1:AR150"/>
  <sheetViews>
    <sheetView topLeftCell="C29" zoomScale="90" zoomScaleNormal="75" workbookViewId="0">
      <selection activeCell="A43" sqref="A43:XFD43"/>
    </sheetView>
  </sheetViews>
  <sheetFormatPr baseColWidth="10" defaultColWidth="8.83203125" defaultRowHeight="13" x14ac:dyDescent="0.15"/>
  <cols>
    <col min="1" max="1" width="4.33203125" style="4" customWidth="1"/>
    <col min="2" max="2" width="7.1640625" style="4" customWidth="1"/>
    <col min="3" max="3" width="25.83203125" style="4" customWidth="1"/>
    <col min="4" max="5" width="10.5" style="4" bestFit="1" customWidth="1"/>
    <col min="6" max="8" width="8.83203125" style="4"/>
    <col min="9" max="9" width="9.5" style="4" customWidth="1"/>
    <col min="10" max="10" width="10.6640625" style="4" customWidth="1"/>
    <col min="11" max="11" width="19.1640625" style="4" customWidth="1"/>
    <col min="12" max="18" width="8.83203125" style="4"/>
    <col min="19" max="20" width="2.5" style="4" customWidth="1"/>
    <col min="21" max="21" width="21.5" style="4" customWidth="1"/>
    <col min="22" max="28" width="8.83203125" style="4"/>
    <col min="29" max="29" width="23.33203125" style="4" customWidth="1"/>
    <col min="30" max="30" width="11.6640625" style="4" bestFit="1" customWidth="1"/>
    <col min="31" max="31" width="8.33203125" style="4" customWidth="1"/>
    <col min="32" max="35" width="8.83203125" style="4"/>
    <col min="36" max="36" width="8.5" style="4" customWidth="1"/>
    <col min="37" max="16384" width="8.83203125" style="4"/>
  </cols>
  <sheetData>
    <row r="1" spans="2:7" s="2" customFormat="1" ht="14" x14ac:dyDescent="0.15">
      <c r="B1" s="1" t="s">
        <v>2</v>
      </c>
    </row>
    <row r="2" spans="2:7" x14ac:dyDescent="0.15">
      <c r="B2" s="3" t="s">
        <v>3</v>
      </c>
    </row>
    <row r="3" spans="2:7" x14ac:dyDescent="0.15">
      <c r="B3" s="3" t="s">
        <v>4</v>
      </c>
      <c r="D3" s="4">
        <v>2015</v>
      </c>
      <c r="E3" s="4">
        <v>2012</v>
      </c>
      <c r="F3" s="4">
        <v>2010</v>
      </c>
      <c r="G3" s="4">
        <v>2009</v>
      </c>
    </row>
    <row r="4" spans="2:7" ht="7.75" customHeight="1" x14ac:dyDescent="0.15">
      <c r="B4" s="3"/>
    </row>
    <row r="5" spans="2:7" x14ac:dyDescent="0.15">
      <c r="B5" s="4" t="s">
        <v>5</v>
      </c>
    </row>
    <row r="6" spans="2:7" x14ac:dyDescent="0.15">
      <c r="B6" s="4" t="s">
        <v>6</v>
      </c>
    </row>
    <row r="7" spans="2:7" x14ac:dyDescent="0.15">
      <c r="B7" s="4" t="s">
        <v>7</v>
      </c>
    </row>
    <row r="8" spans="2:7" x14ac:dyDescent="0.15">
      <c r="B8" s="4" t="s">
        <v>8</v>
      </c>
    </row>
    <row r="9" spans="2:7" x14ac:dyDescent="0.15">
      <c r="B9" s="4" t="s">
        <v>9</v>
      </c>
    </row>
    <row r="10" spans="2:7" x14ac:dyDescent="0.15">
      <c r="B10" s="4" t="s">
        <v>10</v>
      </c>
    </row>
    <row r="11" spans="2:7" x14ac:dyDescent="0.15">
      <c r="B11" s="4" t="s">
        <v>11</v>
      </c>
    </row>
    <row r="12" spans="2:7" x14ac:dyDescent="0.15">
      <c r="B12" s="3" t="s">
        <v>12</v>
      </c>
    </row>
    <row r="13" spans="2:7" x14ac:dyDescent="0.15">
      <c r="B13" s="3" t="s">
        <v>13</v>
      </c>
    </row>
    <row r="14" spans="2:7" x14ac:dyDescent="0.15">
      <c r="B14" s="3" t="s">
        <v>14</v>
      </c>
    </row>
    <row r="15" spans="2:7" x14ac:dyDescent="0.15">
      <c r="B15" s="3" t="s">
        <v>15</v>
      </c>
    </row>
    <row r="16" spans="2:7" x14ac:dyDescent="0.15">
      <c r="B16" s="3" t="s">
        <v>16</v>
      </c>
    </row>
    <row r="17" spans="1:37" x14ac:dyDescent="0.15">
      <c r="B17" s="4" t="s">
        <v>17</v>
      </c>
      <c r="M17" s="5" t="s">
        <v>18</v>
      </c>
      <c r="W17" s="5" t="s">
        <v>19</v>
      </c>
    </row>
    <row r="18" spans="1:37" x14ac:dyDescent="0.15">
      <c r="B18" s="4" t="s">
        <v>20</v>
      </c>
      <c r="M18" s="6" t="s">
        <v>21</v>
      </c>
      <c r="W18" s="6" t="s">
        <v>22</v>
      </c>
    </row>
    <row r="19" spans="1:37" x14ac:dyDescent="0.15">
      <c r="B19" s="4" t="s">
        <v>23</v>
      </c>
      <c r="M19" s="6" t="s">
        <v>24</v>
      </c>
      <c r="W19" s="6" t="s">
        <v>25</v>
      </c>
    </row>
    <row r="20" spans="1:37" x14ac:dyDescent="0.15">
      <c r="B20" s="4" t="s">
        <v>26</v>
      </c>
      <c r="M20" s="6" t="s">
        <v>27</v>
      </c>
      <c r="W20" s="6" t="s">
        <v>28</v>
      </c>
    </row>
    <row r="21" spans="1:37" x14ac:dyDescent="0.15">
      <c r="B21" s="3" t="s">
        <v>29</v>
      </c>
    </row>
    <row r="22" spans="1:37" x14ac:dyDescent="0.15">
      <c r="B22" s="3" t="s">
        <v>30</v>
      </c>
      <c r="M22" s="4" t="s">
        <v>31</v>
      </c>
      <c r="W22" s="4" t="s">
        <v>32</v>
      </c>
      <c r="AD22" s="4" t="s">
        <v>31</v>
      </c>
    </row>
    <row r="23" spans="1:37" x14ac:dyDescent="0.15">
      <c r="B23" s="4" t="s">
        <v>33</v>
      </c>
      <c r="M23" s="6" t="s">
        <v>34</v>
      </c>
      <c r="W23" s="6" t="s">
        <v>35</v>
      </c>
      <c r="AD23" s="6" t="s">
        <v>34</v>
      </c>
    </row>
    <row r="24" spans="1:37" x14ac:dyDescent="0.15">
      <c r="M24" s="6" t="s">
        <v>36</v>
      </c>
      <c r="W24" s="6" t="s">
        <v>36</v>
      </c>
      <c r="AD24" s="6" t="s">
        <v>36</v>
      </c>
    </row>
    <row r="25" spans="1:37" ht="7.5" customHeight="1" x14ac:dyDescent="0.15">
      <c r="A25" s="7"/>
      <c r="B25" s="7"/>
      <c r="C25" s="7"/>
      <c r="D25" s="7"/>
      <c r="E25" s="7"/>
      <c r="F25" s="7"/>
      <c r="G25" s="7"/>
      <c r="H25" s="7"/>
      <c r="I25" s="7"/>
      <c r="J25" s="8"/>
      <c r="K25" s="7"/>
      <c r="L25" s="7"/>
      <c r="M25" s="7"/>
      <c r="N25" s="7"/>
      <c r="O25" s="7"/>
      <c r="P25" s="7"/>
      <c r="Q25" s="7"/>
      <c r="R25" s="7"/>
      <c r="S25" s="9"/>
      <c r="T25" s="9"/>
      <c r="U25" s="9"/>
      <c r="V25" s="9"/>
      <c r="W25" s="9"/>
      <c r="X25" s="9"/>
      <c r="Y25" s="9"/>
      <c r="Z25" s="9"/>
      <c r="AA25" s="9"/>
      <c r="AB25" s="9"/>
      <c r="AC25" s="9"/>
      <c r="AD25" s="9"/>
      <c r="AE25" s="9"/>
      <c r="AF25" s="9"/>
      <c r="AG25" s="9"/>
      <c r="AH25" s="9"/>
      <c r="AI25" s="9"/>
      <c r="AJ25" s="9"/>
    </row>
    <row r="26" spans="1:37" ht="13.75" customHeight="1" x14ac:dyDescent="0.15">
      <c r="A26" s="7"/>
      <c r="B26" s="10"/>
      <c r="C26" s="11" t="s">
        <v>37</v>
      </c>
      <c r="D26" s="12">
        <v>0.2</v>
      </c>
      <c r="E26" s="7"/>
      <c r="F26" s="7"/>
      <c r="G26" s="7"/>
      <c r="H26" s="7"/>
      <c r="I26" s="7"/>
      <c r="J26" s="8"/>
      <c r="K26" s="7"/>
      <c r="L26" s="7"/>
      <c r="M26" s="7"/>
      <c r="N26" s="7"/>
      <c r="O26" s="7"/>
      <c r="P26" s="7"/>
      <c r="Q26" s="7"/>
      <c r="R26" s="7"/>
      <c r="S26" s="9"/>
      <c r="T26" s="9"/>
      <c r="U26" s="9"/>
      <c r="V26" s="9"/>
      <c r="W26" s="9"/>
      <c r="X26" s="9"/>
      <c r="Y26" s="9"/>
      <c r="Z26" s="9"/>
      <c r="AA26" s="9"/>
      <c r="AB26" s="9"/>
      <c r="AC26" s="9"/>
      <c r="AD26" s="9"/>
      <c r="AE26" s="9"/>
      <c r="AF26" s="9"/>
      <c r="AG26" s="9"/>
      <c r="AH26" s="9"/>
      <c r="AI26" s="9"/>
      <c r="AJ26" s="9"/>
    </row>
    <row r="27" spans="1:37" ht="14" x14ac:dyDescent="0.15">
      <c r="A27" s="7"/>
      <c r="B27" s="10"/>
      <c r="C27" s="11" t="s">
        <v>38</v>
      </c>
      <c r="D27" s="12">
        <v>95</v>
      </c>
      <c r="E27" s="7"/>
      <c r="F27" s="7"/>
      <c r="G27" s="13" t="s">
        <v>39</v>
      </c>
      <c r="H27" s="14" t="s">
        <v>40</v>
      </c>
      <c r="I27" s="15" t="s">
        <v>41</v>
      </c>
      <c r="J27" s="7"/>
      <c r="K27" s="7"/>
      <c r="L27" s="7"/>
      <c r="M27" s="13" t="s">
        <v>39</v>
      </c>
      <c r="N27" s="16" t="s">
        <v>42</v>
      </c>
      <c r="O27" s="14" t="s">
        <v>40</v>
      </c>
      <c r="P27" s="15" t="s">
        <v>41</v>
      </c>
      <c r="Q27" s="17" t="s">
        <v>43</v>
      </c>
      <c r="R27" s="7"/>
      <c r="S27" s="9"/>
      <c r="T27" s="9"/>
      <c r="U27" s="9"/>
      <c r="V27" s="9"/>
      <c r="W27" s="9"/>
      <c r="X27" s="18" t="s">
        <v>39</v>
      </c>
      <c r="Y27" s="19" t="s">
        <v>42</v>
      </c>
      <c r="Z27" s="20" t="s">
        <v>40</v>
      </c>
      <c r="AA27" s="21" t="s">
        <v>41</v>
      </c>
      <c r="AB27" s="22" t="s">
        <v>43</v>
      </c>
      <c r="AC27" s="9"/>
      <c r="AD27" s="9"/>
      <c r="AE27" s="18" t="s">
        <v>39</v>
      </c>
      <c r="AF27" s="19" t="s">
        <v>42</v>
      </c>
      <c r="AG27" s="20" t="s">
        <v>40</v>
      </c>
      <c r="AH27" s="21" t="s">
        <v>41</v>
      </c>
      <c r="AI27" s="22" t="s">
        <v>43</v>
      </c>
      <c r="AJ27" s="22"/>
    </row>
    <row r="28" spans="1:37" s="34" customFormat="1" ht="14" x14ac:dyDescent="0.15">
      <c r="A28" s="23"/>
      <c r="B28" s="23"/>
      <c r="C28" s="24" t="s">
        <v>44</v>
      </c>
      <c r="D28" s="25"/>
      <c r="E28" s="24"/>
      <c r="F28" s="24"/>
      <c r="G28" s="24"/>
      <c r="H28" s="24"/>
      <c r="I28" s="24"/>
      <c r="J28" s="26"/>
      <c r="K28" s="23"/>
      <c r="L28" s="27" t="s">
        <v>45</v>
      </c>
      <c r="M28" s="27"/>
      <c r="N28" s="27"/>
      <c r="O28" s="27"/>
      <c r="P28" s="27"/>
      <c r="Q28" s="17" t="s">
        <v>46</v>
      </c>
      <c r="R28" s="28" t="s">
        <v>47</v>
      </c>
      <c r="S28" s="29"/>
      <c r="T28" s="30"/>
      <c r="U28" s="9"/>
      <c r="V28" s="31" t="s">
        <v>48</v>
      </c>
      <c r="W28" s="32"/>
      <c r="X28" s="32"/>
      <c r="Y28" s="32"/>
      <c r="Z28" s="32"/>
      <c r="AA28" s="32"/>
      <c r="AB28" s="22" t="s">
        <v>46</v>
      </c>
      <c r="AC28" s="30"/>
      <c r="AD28" s="32" t="s">
        <v>49</v>
      </c>
      <c r="AE28" s="32"/>
      <c r="AF28" s="32"/>
      <c r="AG28" s="32"/>
      <c r="AH28" s="32"/>
      <c r="AI28" s="22" t="s">
        <v>46</v>
      </c>
      <c r="AJ28" s="33" t="s">
        <v>47</v>
      </c>
    </row>
    <row r="29" spans="1:37" s="44" customFormat="1" ht="14" x14ac:dyDescent="0.15">
      <c r="A29" s="35"/>
      <c r="B29" s="35"/>
      <c r="C29" s="36" t="s">
        <v>50</v>
      </c>
      <c r="D29" s="37">
        <v>1</v>
      </c>
      <c r="E29" s="37">
        <v>2</v>
      </c>
      <c r="F29" s="37">
        <v>3</v>
      </c>
      <c r="G29" s="37">
        <v>4</v>
      </c>
      <c r="H29" s="37">
        <v>5</v>
      </c>
      <c r="I29" s="37">
        <v>6</v>
      </c>
      <c r="J29" s="38" t="s">
        <v>51</v>
      </c>
      <c r="K29" s="35"/>
      <c r="L29" s="39" t="str">
        <f>E29&amp;"-"&amp;D29</f>
        <v>2-1</v>
      </c>
      <c r="M29" s="39" t="str">
        <f>F29&amp;"-"&amp;E29</f>
        <v>3-2</v>
      </c>
      <c r="N29" s="39" t="str">
        <f>G29&amp;"-"&amp;F29</f>
        <v>4-3</v>
      </c>
      <c r="O29" s="39" t="str">
        <f>H29&amp;"-"&amp;G29</f>
        <v>5-4</v>
      </c>
      <c r="P29" s="39" t="str">
        <f>I29&amp;"-"&amp;H29</f>
        <v>6-5</v>
      </c>
      <c r="Q29" s="17" t="s">
        <v>52</v>
      </c>
      <c r="R29" s="28" t="s">
        <v>53</v>
      </c>
      <c r="S29" s="29"/>
      <c r="T29" s="40"/>
      <c r="U29" s="40"/>
      <c r="V29" s="41">
        <f t="shared" ref="V29:AA29" si="0">D29</f>
        <v>1</v>
      </c>
      <c r="W29" s="41">
        <f t="shared" si="0"/>
        <v>2</v>
      </c>
      <c r="X29" s="41">
        <f t="shared" si="0"/>
        <v>3</v>
      </c>
      <c r="Y29" s="41">
        <f t="shared" si="0"/>
        <v>4</v>
      </c>
      <c r="Z29" s="41">
        <f t="shared" si="0"/>
        <v>5</v>
      </c>
      <c r="AA29" s="41">
        <f t="shared" si="0"/>
        <v>6</v>
      </c>
      <c r="AB29" s="22" t="s">
        <v>52</v>
      </c>
      <c r="AC29" s="42"/>
      <c r="AD29" s="41" t="str">
        <f>L29</f>
        <v>2-1</v>
      </c>
      <c r="AE29" s="41" t="str">
        <f>M29</f>
        <v>3-2</v>
      </c>
      <c r="AF29" s="41" t="str">
        <f>N29</f>
        <v>4-3</v>
      </c>
      <c r="AG29" s="41" t="str">
        <f>O29</f>
        <v>5-4</v>
      </c>
      <c r="AH29" s="41" t="str">
        <f>P29</f>
        <v>6-5</v>
      </c>
      <c r="AI29" s="22" t="s">
        <v>52</v>
      </c>
      <c r="AJ29" s="43" t="s">
        <v>53</v>
      </c>
    </row>
    <row r="30" spans="1:37" ht="16" x14ac:dyDescent="0.15">
      <c r="A30" s="7"/>
      <c r="B30" s="7"/>
      <c r="C30" s="245"/>
      <c r="D30" s="247">
        <v>35.74</v>
      </c>
      <c r="E30" s="247">
        <v>39.54</v>
      </c>
      <c r="F30" s="247"/>
      <c r="G30" s="45"/>
      <c r="J30" s="46"/>
      <c r="K30" s="7"/>
      <c r="L30" s="17">
        <f t="shared" ref="L30:P45" si="1">IF(AND(ISNUMBER(E30),ISNUMBER(D30)),(E30-D30),"delete")</f>
        <v>3.7999999999999972</v>
      </c>
      <c r="M30" s="17" t="str">
        <f t="shared" si="1"/>
        <v>delete</v>
      </c>
      <c r="N30" s="17"/>
      <c r="O30" s="17"/>
      <c r="P30" s="17"/>
      <c r="Q30" s="7"/>
      <c r="R30" s="47">
        <f t="shared" ref="R30:R45" si="2">IF(SUMPRODUCT(D30:I30,D30:I30,$D$48:$I$48)&gt;0,1,0)</f>
        <v>1</v>
      </c>
      <c r="S30" s="48"/>
      <c r="T30" s="9"/>
      <c r="U30" s="18" t="s">
        <v>54</v>
      </c>
      <c r="V30" s="49">
        <f t="shared" ref="V30:AA45" si="3">100*LN(D30)</f>
        <v>357.62705097312823</v>
      </c>
      <c r="W30" s="49">
        <f t="shared" si="3"/>
        <v>367.73128177424707</v>
      </c>
      <c r="X30" s="49"/>
      <c r="Y30" s="49"/>
      <c r="Z30" s="49"/>
      <c r="AA30" s="49"/>
      <c r="AB30" s="22"/>
      <c r="AC30" s="22"/>
      <c r="AD30" s="22">
        <f t="shared" ref="AD30:AH45" si="4">IF(AND(ISNUMBER(W30),ISNUMBER(V30)),(W30-V30),"delete")</f>
        <v>10.104230801118831</v>
      </c>
      <c r="AE30" s="22"/>
      <c r="AF30" s="22"/>
      <c r="AG30" s="22"/>
      <c r="AH30" s="22"/>
      <c r="AI30" s="9"/>
      <c r="AJ30" s="43">
        <f t="shared" ref="AJ30:AJ45" si="5">IF(SUMPRODUCT(V30:AA30,V30:AA30,$V$48:$AA$48)&gt;0,1,0)</f>
        <v>0</v>
      </c>
      <c r="AK30" s="50"/>
    </row>
    <row r="31" spans="1:37" ht="16" x14ac:dyDescent="0.15">
      <c r="A31" s="7"/>
      <c r="B31" s="7"/>
      <c r="C31" s="245"/>
      <c r="D31" s="247">
        <v>47.21</v>
      </c>
      <c r="E31" s="247">
        <v>41.04</v>
      </c>
      <c r="F31" s="247"/>
      <c r="G31" s="45"/>
      <c r="J31" s="46"/>
      <c r="K31" s="7"/>
      <c r="L31" s="17">
        <f t="shared" si="1"/>
        <v>-6.1700000000000017</v>
      </c>
      <c r="M31" s="17" t="str">
        <f t="shared" si="1"/>
        <v>delete</v>
      </c>
      <c r="N31" s="17"/>
      <c r="O31" s="17"/>
      <c r="P31" s="17"/>
      <c r="Q31" s="7"/>
      <c r="R31" s="47">
        <f t="shared" si="2"/>
        <v>1</v>
      </c>
      <c r="S31" s="48"/>
      <c r="T31" s="9"/>
      <c r="U31" s="18" t="s">
        <v>55</v>
      </c>
      <c r="V31" s="49">
        <f t="shared" si="3"/>
        <v>385.46057345581954</v>
      </c>
      <c r="W31" s="49">
        <f t="shared" si="3"/>
        <v>371.45472008625143</v>
      </c>
      <c r="X31" s="49"/>
      <c r="Y31" s="49"/>
      <c r="Z31" s="49"/>
      <c r="AA31" s="49"/>
      <c r="AB31" s="22"/>
      <c r="AC31" s="22"/>
      <c r="AD31" s="22">
        <f t="shared" si="4"/>
        <v>-14.005853369568115</v>
      </c>
      <c r="AE31" s="22"/>
      <c r="AF31" s="22"/>
      <c r="AG31" s="22"/>
      <c r="AH31" s="22"/>
      <c r="AI31" s="9"/>
      <c r="AJ31" s="43">
        <f t="shared" si="5"/>
        <v>0</v>
      </c>
      <c r="AK31" s="50"/>
    </row>
    <row r="32" spans="1:37" ht="16" x14ac:dyDescent="0.2">
      <c r="A32" s="7"/>
      <c r="B32" s="7"/>
      <c r="C32" s="245"/>
      <c r="D32" s="248">
        <v>34.18</v>
      </c>
      <c r="E32" s="248">
        <v>33.299999999999997</v>
      </c>
      <c r="F32" s="248"/>
      <c r="G32" s="45"/>
      <c r="J32" s="46"/>
      <c r="K32" s="7"/>
      <c r="L32" s="17">
        <f t="shared" si="1"/>
        <v>-0.88000000000000256</v>
      </c>
      <c r="M32" s="17" t="str">
        <f t="shared" si="1"/>
        <v>delete</v>
      </c>
      <c r="N32" s="17" t="str">
        <f t="shared" si="1"/>
        <v>delete</v>
      </c>
      <c r="O32" s="17" t="str">
        <f t="shared" si="1"/>
        <v>delete</v>
      </c>
      <c r="P32" s="17" t="str">
        <f t="shared" si="1"/>
        <v>delete</v>
      </c>
      <c r="Q32" s="7"/>
      <c r="R32" s="47">
        <f t="shared" si="2"/>
        <v>1</v>
      </c>
      <c r="S32" s="48"/>
      <c r="T32" s="9"/>
      <c r="U32" s="18" t="s">
        <v>56</v>
      </c>
      <c r="V32" s="49">
        <f t="shared" si="3"/>
        <v>353.16406776874447</v>
      </c>
      <c r="W32" s="49">
        <f t="shared" si="3"/>
        <v>350.5557396986398</v>
      </c>
      <c r="X32" s="49" t="e">
        <f t="shared" si="3"/>
        <v>#NUM!</v>
      </c>
      <c r="Y32" s="49" t="e">
        <f t="shared" si="3"/>
        <v>#NUM!</v>
      </c>
      <c r="Z32" s="49" t="e">
        <f t="shared" si="3"/>
        <v>#NUM!</v>
      </c>
      <c r="AA32" s="49" t="e">
        <f t="shared" si="3"/>
        <v>#NUM!</v>
      </c>
      <c r="AB32" s="22"/>
      <c r="AC32" s="22"/>
      <c r="AD32" s="22">
        <f t="shared" si="4"/>
        <v>-2.608328070104676</v>
      </c>
      <c r="AE32" s="22" t="str">
        <f t="shared" si="4"/>
        <v>delete</v>
      </c>
      <c r="AF32" s="22" t="str">
        <f t="shared" si="4"/>
        <v>delete</v>
      </c>
      <c r="AG32" s="22" t="str">
        <f t="shared" si="4"/>
        <v>delete</v>
      </c>
      <c r="AH32" s="22" t="str">
        <f t="shared" si="4"/>
        <v>delete</v>
      </c>
      <c r="AI32" s="9"/>
      <c r="AJ32" s="43" t="e">
        <f t="shared" si="5"/>
        <v>#NUM!</v>
      </c>
      <c r="AK32" s="50"/>
    </row>
    <row r="33" spans="1:37" ht="16" x14ac:dyDescent="0.15">
      <c r="A33" s="7"/>
      <c r="B33" s="7"/>
      <c r="C33" s="245"/>
      <c r="D33" s="247">
        <v>26.57</v>
      </c>
      <c r="E33" s="249">
        <v>25.2</v>
      </c>
      <c r="F33" s="247"/>
      <c r="G33" s="45"/>
      <c r="J33" s="46"/>
      <c r="K33" s="7"/>
      <c r="L33" s="17">
        <f t="shared" si="1"/>
        <v>-1.370000000000001</v>
      </c>
      <c r="M33" s="17" t="str">
        <f t="shared" si="1"/>
        <v>delete</v>
      </c>
      <c r="N33" s="17" t="str">
        <f t="shared" si="1"/>
        <v>delete</v>
      </c>
      <c r="O33" s="17" t="str">
        <f t="shared" si="1"/>
        <v>delete</v>
      </c>
      <c r="P33" s="17" t="str">
        <f t="shared" si="1"/>
        <v>delete</v>
      </c>
      <c r="Q33" s="7"/>
      <c r="R33" s="47">
        <f t="shared" si="2"/>
        <v>1</v>
      </c>
      <c r="S33" s="48"/>
      <c r="T33" s="9"/>
      <c r="U33" s="18" t="s">
        <v>57</v>
      </c>
      <c r="V33" s="49">
        <f t="shared" si="3"/>
        <v>327.97827597717219</v>
      </c>
      <c r="W33" s="49">
        <f t="shared" si="3"/>
        <v>322.68439945173776</v>
      </c>
      <c r="X33" s="49" t="e">
        <f t="shared" si="3"/>
        <v>#NUM!</v>
      </c>
      <c r="Y33" s="49" t="e">
        <f t="shared" si="3"/>
        <v>#NUM!</v>
      </c>
      <c r="Z33" s="49" t="e">
        <f t="shared" si="3"/>
        <v>#NUM!</v>
      </c>
      <c r="AA33" s="49" t="e">
        <f t="shared" si="3"/>
        <v>#NUM!</v>
      </c>
      <c r="AB33" s="22"/>
      <c r="AC33" s="22"/>
      <c r="AD33" s="22">
        <f t="shared" si="4"/>
        <v>-5.2938765254344275</v>
      </c>
      <c r="AE33" s="22" t="str">
        <f t="shared" si="4"/>
        <v>delete</v>
      </c>
      <c r="AF33" s="22" t="str">
        <f t="shared" si="4"/>
        <v>delete</v>
      </c>
      <c r="AG33" s="22" t="str">
        <f t="shared" si="4"/>
        <v>delete</v>
      </c>
      <c r="AH33" s="22" t="str">
        <f t="shared" si="4"/>
        <v>delete</v>
      </c>
      <c r="AI33" s="9"/>
      <c r="AJ33" s="43" t="e">
        <f t="shared" si="5"/>
        <v>#NUM!</v>
      </c>
      <c r="AK33" s="50"/>
    </row>
    <row r="34" spans="1:37" ht="16" x14ac:dyDescent="0.15">
      <c r="A34" s="7"/>
      <c r="B34" s="7"/>
      <c r="C34" s="245"/>
      <c r="D34" s="247">
        <v>28.06</v>
      </c>
      <c r="E34" s="247">
        <v>30.43</v>
      </c>
      <c r="F34" s="247"/>
      <c r="G34" s="45"/>
      <c r="J34" s="46"/>
      <c r="K34" s="7"/>
      <c r="L34" s="17">
        <f t="shared" si="1"/>
        <v>2.370000000000001</v>
      </c>
      <c r="M34" s="17" t="str">
        <f t="shared" si="1"/>
        <v>delete</v>
      </c>
      <c r="N34" s="17" t="str">
        <f t="shared" si="1"/>
        <v>delete</v>
      </c>
      <c r="O34" s="17" t="str">
        <f t="shared" si="1"/>
        <v>delete</v>
      </c>
      <c r="P34" s="17" t="str">
        <f t="shared" si="1"/>
        <v>delete</v>
      </c>
      <c r="Q34" s="7"/>
      <c r="R34" s="47">
        <f t="shared" si="2"/>
        <v>1</v>
      </c>
      <c r="S34" s="48"/>
      <c r="T34" s="9"/>
      <c r="U34" s="18" t="s">
        <v>58</v>
      </c>
      <c r="V34" s="49">
        <f t="shared" si="3"/>
        <v>333.43450746743144</v>
      </c>
      <c r="W34" s="49">
        <f t="shared" si="3"/>
        <v>341.54289639088796</v>
      </c>
      <c r="X34" s="49" t="e">
        <f t="shared" si="3"/>
        <v>#NUM!</v>
      </c>
      <c r="Y34" s="49" t="e">
        <f t="shared" si="3"/>
        <v>#NUM!</v>
      </c>
      <c r="Z34" s="49" t="e">
        <f t="shared" si="3"/>
        <v>#NUM!</v>
      </c>
      <c r="AA34" s="49" t="e">
        <f t="shared" si="3"/>
        <v>#NUM!</v>
      </c>
      <c r="AB34" s="22"/>
      <c r="AC34" s="22"/>
      <c r="AD34" s="22">
        <f t="shared" si="4"/>
        <v>8.1083889234565163</v>
      </c>
      <c r="AE34" s="22" t="str">
        <f t="shared" si="4"/>
        <v>delete</v>
      </c>
      <c r="AF34" s="22" t="str">
        <f t="shared" si="4"/>
        <v>delete</v>
      </c>
      <c r="AG34" s="22" t="str">
        <f t="shared" si="4"/>
        <v>delete</v>
      </c>
      <c r="AH34" s="22" t="str">
        <f t="shared" si="4"/>
        <v>delete</v>
      </c>
      <c r="AI34" s="9"/>
      <c r="AJ34" s="43" t="e">
        <f t="shared" si="5"/>
        <v>#NUM!</v>
      </c>
      <c r="AK34" s="50"/>
    </row>
    <row r="35" spans="1:37" ht="16" x14ac:dyDescent="0.2">
      <c r="A35" s="7"/>
      <c r="B35" s="7"/>
      <c r="C35" s="245"/>
      <c r="D35" s="248">
        <v>32.49</v>
      </c>
      <c r="E35" s="248">
        <v>29.87</v>
      </c>
      <c r="F35" s="248"/>
      <c r="G35" s="45"/>
      <c r="J35" s="46"/>
      <c r="K35" s="7"/>
      <c r="L35" s="17">
        <f t="shared" si="1"/>
        <v>-2.620000000000001</v>
      </c>
      <c r="M35" s="17" t="str">
        <f t="shared" si="1"/>
        <v>delete</v>
      </c>
      <c r="N35" s="17" t="str">
        <f t="shared" si="1"/>
        <v>delete</v>
      </c>
      <c r="O35" s="17" t="str">
        <f t="shared" si="1"/>
        <v>delete</v>
      </c>
      <c r="P35" s="17" t="str">
        <f t="shared" si="1"/>
        <v>delete</v>
      </c>
      <c r="Q35" s="7"/>
      <c r="R35" s="47">
        <f t="shared" si="2"/>
        <v>1</v>
      </c>
      <c r="S35" s="48"/>
      <c r="T35" s="9"/>
      <c r="U35" s="18" t="s">
        <v>59</v>
      </c>
      <c r="V35" s="49">
        <f t="shared" si="3"/>
        <v>348.09323496810094</v>
      </c>
      <c r="W35" s="49">
        <f t="shared" si="3"/>
        <v>339.68546322280184</v>
      </c>
      <c r="X35" s="49" t="e">
        <f t="shared" si="3"/>
        <v>#NUM!</v>
      </c>
      <c r="Y35" s="49" t="e">
        <f t="shared" si="3"/>
        <v>#NUM!</v>
      </c>
      <c r="Z35" s="49" t="e">
        <f t="shared" si="3"/>
        <v>#NUM!</v>
      </c>
      <c r="AA35" s="49" t="e">
        <f t="shared" si="3"/>
        <v>#NUM!</v>
      </c>
      <c r="AB35" s="22"/>
      <c r="AC35" s="22"/>
      <c r="AD35" s="22">
        <f t="shared" si="4"/>
        <v>-8.407771745299101</v>
      </c>
      <c r="AE35" s="22" t="str">
        <f t="shared" si="4"/>
        <v>delete</v>
      </c>
      <c r="AF35" s="22" t="str">
        <f t="shared" si="4"/>
        <v>delete</v>
      </c>
      <c r="AG35" s="22" t="str">
        <f t="shared" si="4"/>
        <v>delete</v>
      </c>
      <c r="AH35" s="22" t="str">
        <f t="shared" si="4"/>
        <v>delete</v>
      </c>
      <c r="AI35" s="9"/>
      <c r="AJ35" s="43" t="e">
        <f t="shared" si="5"/>
        <v>#NUM!</v>
      </c>
      <c r="AK35" s="50"/>
    </row>
    <row r="36" spans="1:37" ht="16" x14ac:dyDescent="0.15">
      <c r="A36" s="7"/>
      <c r="B36" s="7"/>
      <c r="C36" s="245"/>
      <c r="D36" s="247">
        <v>18.579999999999998</v>
      </c>
      <c r="E36" s="247">
        <v>24.01</v>
      </c>
      <c r="F36" s="247"/>
      <c r="G36" s="45"/>
      <c r="J36" s="46"/>
      <c r="K36" s="7"/>
      <c r="L36" s="17">
        <f t="shared" si="1"/>
        <v>5.4300000000000033</v>
      </c>
      <c r="M36" s="17" t="str">
        <f t="shared" si="1"/>
        <v>delete</v>
      </c>
      <c r="N36" s="17" t="str">
        <f t="shared" si="1"/>
        <v>delete</v>
      </c>
      <c r="O36" s="17" t="str">
        <f t="shared" si="1"/>
        <v>delete</v>
      </c>
      <c r="P36" s="17" t="str">
        <f t="shared" si="1"/>
        <v>delete</v>
      </c>
      <c r="Q36" s="7"/>
      <c r="R36" s="47">
        <f t="shared" si="2"/>
        <v>1</v>
      </c>
      <c r="S36" s="48"/>
      <c r="T36" s="9"/>
      <c r="U36" s="18" t="s">
        <v>60</v>
      </c>
      <c r="V36" s="49">
        <f t="shared" si="3"/>
        <v>292.20857333856924</v>
      </c>
      <c r="W36" s="49">
        <f t="shared" si="3"/>
        <v>317.84704102331619</v>
      </c>
      <c r="X36" s="49" t="e">
        <f t="shared" si="3"/>
        <v>#NUM!</v>
      </c>
      <c r="Y36" s="49" t="e">
        <f t="shared" si="3"/>
        <v>#NUM!</v>
      </c>
      <c r="Z36" s="49" t="e">
        <f t="shared" si="3"/>
        <v>#NUM!</v>
      </c>
      <c r="AA36" s="49" t="e">
        <f t="shared" si="3"/>
        <v>#NUM!</v>
      </c>
      <c r="AB36" s="22"/>
      <c r="AC36" s="22"/>
      <c r="AD36" s="22">
        <f t="shared" si="4"/>
        <v>25.638467684746956</v>
      </c>
      <c r="AE36" s="22" t="str">
        <f t="shared" si="4"/>
        <v>delete</v>
      </c>
      <c r="AF36" s="22" t="str">
        <f t="shared" si="4"/>
        <v>delete</v>
      </c>
      <c r="AG36" s="22" t="str">
        <f t="shared" si="4"/>
        <v>delete</v>
      </c>
      <c r="AH36" s="22" t="str">
        <f t="shared" si="4"/>
        <v>delete</v>
      </c>
      <c r="AI36" s="9"/>
      <c r="AJ36" s="43" t="e">
        <f t="shared" si="5"/>
        <v>#NUM!</v>
      </c>
      <c r="AK36" s="50"/>
    </row>
    <row r="37" spans="1:37" ht="16" x14ac:dyDescent="0.15">
      <c r="A37" s="7"/>
      <c r="B37" s="7"/>
      <c r="C37" s="245"/>
      <c r="D37" s="247">
        <v>26.01</v>
      </c>
      <c r="E37" s="247">
        <v>26.07</v>
      </c>
      <c r="F37" s="247"/>
      <c r="G37" s="45"/>
      <c r="J37" s="46"/>
      <c r="K37" s="7"/>
      <c r="L37" s="17">
        <f t="shared" si="1"/>
        <v>5.9999999999998721E-2</v>
      </c>
      <c r="M37" s="17" t="str">
        <f t="shared" si="1"/>
        <v>delete</v>
      </c>
      <c r="N37" s="17" t="str">
        <f t="shared" si="1"/>
        <v>delete</v>
      </c>
      <c r="O37" s="17" t="str">
        <f t="shared" si="1"/>
        <v>delete</v>
      </c>
      <c r="P37" s="17" t="str">
        <f t="shared" si="1"/>
        <v>delete</v>
      </c>
      <c r="Q37" s="7"/>
      <c r="R37" s="47">
        <f t="shared" si="2"/>
        <v>1</v>
      </c>
      <c r="S37" s="48"/>
      <c r="T37" s="9"/>
      <c r="U37" s="18" t="s">
        <v>61</v>
      </c>
      <c r="V37" s="49">
        <f t="shared" si="3"/>
        <v>325.84810794605602</v>
      </c>
      <c r="W37" s="49">
        <f t="shared" si="3"/>
        <v>326.07852279454102</v>
      </c>
      <c r="X37" s="49" t="e">
        <f t="shared" si="3"/>
        <v>#NUM!</v>
      </c>
      <c r="Y37" s="49" t="e">
        <f t="shared" si="3"/>
        <v>#NUM!</v>
      </c>
      <c r="Z37" s="49" t="e">
        <f t="shared" si="3"/>
        <v>#NUM!</v>
      </c>
      <c r="AA37" s="49" t="e">
        <f t="shared" si="3"/>
        <v>#NUM!</v>
      </c>
      <c r="AB37" s="22"/>
      <c r="AC37" s="22"/>
      <c r="AD37" s="22">
        <f t="shared" si="4"/>
        <v>0.23041484848499749</v>
      </c>
      <c r="AE37" s="22" t="str">
        <f t="shared" si="4"/>
        <v>delete</v>
      </c>
      <c r="AF37" s="22" t="str">
        <f t="shared" si="4"/>
        <v>delete</v>
      </c>
      <c r="AG37" s="22" t="str">
        <f t="shared" si="4"/>
        <v>delete</v>
      </c>
      <c r="AH37" s="22" t="str">
        <f t="shared" si="4"/>
        <v>delete</v>
      </c>
      <c r="AI37" s="9"/>
      <c r="AJ37" s="43" t="e">
        <f t="shared" si="5"/>
        <v>#NUM!</v>
      </c>
      <c r="AK37" s="50"/>
    </row>
    <row r="38" spans="1:37" ht="16" x14ac:dyDescent="0.15">
      <c r="A38" s="7"/>
      <c r="B38" s="7"/>
      <c r="C38" s="245"/>
      <c r="D38" s="247">
        <v>29.87</v>
      </c>
      <c r="E38" s="247">
        <v>29.44</v>
      </c>
      <c r="F38" s="247"/>
      <c r="G38" s="45"/>
      <c r="J38" s="46"/>
      <c r="K38" s="7"/>
      <c r="L38" s="17">
        <f t="shared" si="1"/>
        <v>-0.42999999999999972</v>
      </c>
      <c r="M38" s="17" t="str">
        <f t="shared" si="1"/>
        <v>delete</v>
      </c>
      <c r="N38" s="17" t="str">
        <f t="shared" si="1"/>
        <v>delete</v>
      </c>
      <c r="O38" s="17" t="str">
        <f t="shared" si="1"/>
        <v>delete</v>
      </c>
      <c r="P38" s="17" t="str">
        <f t="shared" si="1"/>
        <v>delete</v>
      </c>
      <c r="Q38" s="7"/>
      <c r="R38" s="47">
        <f t="shared" si="2"/>
        <v>1</v>
      </c>
      <c r="S38" s="48"/>
      <c r="T38" s="9"/>
      <c r="U38" s="18" t="s">
        <v>62</v>
      </c>
      <c r="V38" s="49">
        <f t="shared" si="3"/>
        <v>339.68546322280184</v>
      </c>
      <c r="W38" s="49">
        <f t="shared" si="3"/>
        <v>338.23542938606755</v>
      </c>
      <c r="X38" s="49" t="e">
        <f t="shared" si="3"/>
        <v>#NUM!</v>
      </c>
      <c r="Y38" s="49" t="e">
        <f t="shared" si="3"/>
        <v>#NUM!</v>
      </c>
      <c r="Z38" s="49" t="e">
        <f t="shared" si="3"/>
        <v>#NUM!</v>
      </c>
      <c r="AA38" s="49" t="e">
        <f t="shared" si="3"/>
        <v>#NUM!</v>
      </c>
      <c r="AB38" s="22"/>
      <c r="AC38" s="22"/>
      <c r="AD38" s="22">
        <f t="shared" si="4"/>
        <v>-1.450033836734292</v>
      </c>
      <c r="AE38" s="22" t="str">
        <f t="shared" si="4"/>
        <v>delete</v>
      </c>
      <c r="AF38" s="22" t="str">
        <f t="shared" si="4"/>
        <v>delete</v>
      </c>
      <c r="AG38" s="22" t="str">
        <f t="shared" si="4"/>
        <v>delete</v>
      </c>
      <c r="AH38" s="22" t="str">
        <f t="shared" si="4"/>
        <v>delete</v>
      </c>
      <c r="AI38" s="9"/>
      <c r="AJ38" s="43" t="e">
        <f t="shared" si="5"/>
        <v>#NUM!</v>
      </c>
      <c r="AK38" s="50"/>
    </row>
    <row r="39" spans="1:37" ht="16" x14ac:dyDescent="0.15">
      <c r="A39" s="7"/>
      <c r="B39" s="7"/>
      <c r="C39" s="245"/>
      <c r="D39" s="247">
        <v>31.74</v>
      </c>
      <c r="E39" s="247">
        <v>34.049999999999997</v>
      </c>
      <c r="F39" s="247"/>
      <c r="G39" s="45"/>
      <c r="J39" s="46"/>
      <c r="K39" s="7"/>
      <c r="L39" s="17">
        <f t="shared" si="1"/>
        <v>2.3099999999999987</v>
      </c>
      <c r="M39" s="17" t="str">
        <f t="shared" si="1"/>
        <v>delete</v>
      </c>
      <c r="N39" s="17" t="str">
        <f t="shared" si="1"/>
        <v>delete</v>
      </c>
      <c r="O39" s="17" t="str">
        <f t="shared" si="1"/>
        <v>delete</v>
      </c>
      <c r="P39" s="17" t="str">
        <f t="shared" si="1"/>
        <v>delete</v>
      </c>
      <c r="Q39" s="7"/>
      <c r="R39" s="47">
        <f t="shared" si="2"/>
        <v>1</v>
      </c>
      <c r="S39" s="48"/>
      <c r="T39" s="9"/>
      <c r="U39" s="18" t="s">
        <v>63</v>
      </c>
      <c r="V39" s="49">
        <f t="shared" si="3"/>
        <v>345.75777150982628</v>
      </c>
      <c r="W39" s="49">
        <f t="shared" si="3"/>
        <v>352.78300325955212</v>
      </c>
      <c r="X39" s="49" t="e">
        <f t="shared" si="3"/>
        <v>#NUM!</v>
      </c>
      <c r="Y39" s="49" t="e">
        <f t="shared" si="3"/>
        <v>#NUM!</v>
      </c>
      <c r="Z39" s="49" t="e">
        <f t="shared" si="3"/>
        <v>#NUM!</v>
      </c>
      <c r="AA39" s="49" t="e">
        <f t="shared" si="3"/>
        <v>#NUM!</v>
      </c>
      <c r="AB39" s="22"/>
      <c r="AC39" s="22"/>
      <c r="AD39" s="22">
        <f t="shared" si="4"/>
        <v>7.0252317497258332</v>
      </c>
      <c r="AE39" s="22" t="str">
        <f t="shared" si="4"/>
        <v>delete</v>
      </c>
      <c r="AF39" s="22" t="str">
        <f t="shared" si="4"/>
        <v>delete</v>
      </c>
      <c r="AG39" s="22" t="str">
        <f t="shared" si="4"/>
        <v>delete</v>
      </c>
      <c r="AH39" s="22" t="str">
        <f t="shared" si="4"/>
        <v>delete</v>
      </c>
      <c r="AI39" s="9"/>
      <c r="AJ39" s="43" t="e">
        <f t="shared" si="5"/>
        <v>#NUM!</v>
      </c>
      <c r="AK39" s="50"/>
    </row>
    <row r="40" spans="1:37" ht="16" x14ac:dyDescent="0.15">
      <c r="A40" s="7"/>
      <c r="B40" s="7"/>
      <c r="C40" s="245"/>
      <c r="D40" s="247">
        <v>47.83</v>
      </c>
      <c r="E40" s="247">
        <v>41.04</v>
      </c>
      <c r="F40" s="247"/>
      <c r="G40" s="45"/>
      <c r="J40" s="46"/>
      <c r="K40" s="7"/>
      <c r="L40" s="17">
        <f t="shared" si="1"/>
        <v>-6.7899999999999991</v>
      </c>
      <c r="M40" s="17" t="str">
        <f t="shared" si="1"/>
        <v>delete</v>
      </c>
      <c r="N40" s="17" t="str">
        <f t="shared" si="1"/>
        <v>delete</v>
      </c>
      <c r="O40" s="17" t="str">
        <f t="shared" si="1"/>
        <v>delete</v>
      </c>
      <c r="P40" s="17" t="str">
        <f t="shared" si="1"/>
        <v>delete</v>
      </c>
      <c r="Q40" s="7"/>
      <c r="R40" s="47">
        <f t="shared" si="2"/>
        <v>1</v>
      </c>
      <c r="S40" s="48"/>
      <c r="T40" s="9"/>
      <c r="U40" s="18" t="s">
        <v>64</v>
      </c>
      <c r="V40" s="49">
        <f t="shared" si="3"/>
        <v>386.76530576922056</v>
      </c>
      <c r="W40" s="49">
        <f t="shared" si="3"/>
        <v>371.45472008625143</v>
      </c>
      <c r="X40" s="49" t="e">
        <f t="shared" si="3"/>
        <v>#NUM!</v>
      </c>
      <c r="Y40" s="49" t="e">
        <f t="shared" si="3"/>
        <v>#NUM!</v>
      </c>
      <c r="Z40" s="49" t="e">
        <f t="shared" si="3"/>
        <v>#NUM!</v>
      </c>
      <c r="AA40" s="49" t="e">
        <f t="shared" si="3"/>
        <v>#NUM!</v>
      </c>
      <c r="AB40" s="22"/>
      <c r="AC40" s="22"/>
      <c r="AD40" s="22">
        <f t="shared" si="4"/>
        <v>-15.310585682969133</v>
      </c>
      <c r="AE40" s="22" t="str">
        <f t="shared" si="4"/>
        <v>delete</v>
      </c>
      <c r="AF40" s="22" t="str">
        <f t="shared" si="4"/>
        <v>delete</v>
      </c>
      <c r="AG40" s="22" t="str">
        <f t="shared" si="4"/>
        <v>delete</v>
      </c>
      <c r="AH40" s="22" t="str">
        <f t="shared" si="4"/>
        <v>delete</v>
      </c>
      <c r="AI40" s="9"/>
      <c r="AJ40" s="43" t="e">
        <f t="shared" si="5"/>
        <v>#NUM!</v>
      </c>
      <c r="AK40" s="50"/>
    </row>
    <row r="41" spans="1:37" ht="16" x14ac:dyDescent="0.2">
      <c r="A41" s="7"/>
      <c r="B41" s="7"/>
      <c r="C41" s="245"/>
      <c r="D41" s="248">
        <v>28.19</v>
      </c>
      <c r="E41" s="248">
        <v>28.94</v>
      </c>
      <c r="F41" s="248"/>
      <c r="G41" s="45"/>
      <c r="J41" s="46"/>
      <c r="K41" s="7"/>
      <c r="L41" s="17">
        <f t="shared" si="1"/>
        <v>0.75</v>
      </c>
      <c r="M41" s="17" t="str">
        <f t="shared" si="1"/>
        <v>delete</v>
      </c>
      <c r="N41" s="17" t="str">
        <f t="shared" si="1"/>
        <v>delete</v>
      </c>
      <c r="O41" s="17" t="str">
        <f t="shared" si="1"/>
        <v>delete</v>
      </c>
      <c r="P41" s="17" t="str">
        <f t="shared" si="1"/>
        <v>delete</v>
      </c>
      <c r="Q41" s="7"/>
      <c r="R41" s="47">
        <f t="shared" si="2"/>
        <v>1</v>
      </c>
      <c r="S41" s="48"/>
      <c r="T41" s="9"/>
      <c r="U41" s="18" t="s">
        <v>65</v>
      </c>
      <c r="V41" s="49">
        <f t="shared" si="3"/>
        <v>333.89673051260212</v>
      </c>
      <c r="W41" s="49">
        <f t="shared" si="3"/>
        <v>336.52247212033382</v>
      </c>
      <c r="X41" s="49" t="e">
        <f t="shared" si="3"/>
        <v>#NUM!</v>
      </c>
      <c r="Y41" s="49" t="e">
        <f t="shared" si="3"/>
        <v>#NUM!</v>
      </c>
      <c r="Z41" s="49" t="e">
        <f t="shared" si="3"/>
        <v>#NUM!</v>
      </c>
      <c r="AA41" s="49" t="e">
        <f t="shared" si="3"/>
        <v>#NUM!</v>
      </c>
      <c r="AB41" s="22"/>
      <c r="AC41" s="22"/>
      <c r="AD41" s="22">
        <f t="shared" si="4"/>
        <v>2.6257416077316975</v>
      </c>
      <c r="AE41" s="22" t="str">
        <f t="shared" si="4"/>
        <v>delete</v>
      </c>
      <c r="AF41" s="22" t="str">
        <f t="shared" si="4"/>
        <v>delete</v>
      </c>
      <c r="AG41" s="22" t="str">
        <f t="shared" si="4"/>
        <v>delete</v>
      </c>
      <c r="AH41" s="22" t="str">
        <f t="shared" si="4"/>
        <v>delete</v>
      </c>
      <c r="AI41" s="9"/>
      <c r="AJ41" s="43" t="e">
        <f t="shared" si="5"/>
        <v>#NUM!</v>
      </c>
      <c r="AK41" s="50"/>
    </row>
    <row r="42" spans="1:37" ht="16" x14ac:dyDescent="0.15">
      <c r="A42" s="7"/>
      <c r="B42" s="7"/>
      <c r="C42" s="245"/>
      <c r="D42" s="247">
        <v>26.75</v>
      </c>
      <c r="E42" s="247">
        <v>29.19</v>
      </c>
      <c r="F42" s="247"/>
      <c r="G42" s="45"/>
      <c r="J42" s="46"/>
      <c r="K42" s="7"/>
      <c r="L42" s="17">
        <f t="shared" si="1"/>
        <v>2.4400000000000013</v>
      </c>
      <c r="M42" s="17" t="str">
        <f t="shared" si="1"/>
        <v>delete</v>
      </c>
      <c r="N42" s="17" t="str">
        <f t="shared" si="1"/>
        <v>delete</v>
      </c>
      <c r="O42" s="17" t="str">
        <f t="shared" si="1"/>
        <v>delete</v>
      </c>
      <c r="P42" s="17" t="str">
        <f t="shared" si="1"/>
        <v>delete</v>
      </c>
      <c r="Q42" s="7"/>
      <c r="R42" s="47">
        <f t="shared" si="2"/>
        <v>1</v>
      </c>
      <c r="S42" s="48"/>
      <c r="T42" s="9"/>
      <c r="U42" s="18" t="s">
        <v>66</v>
      </c>
      <c r="V42" s="49">
        <f t="shared" si="3"/>
        <v>328.65344733420153</v>
      </c>
      <c r="W42" s="49">
        <f t="shared" si="3"/>
        <v>337.38261848660238</v>
      </c>
      <c r="X42" s="49" t="e">
        <f t="shared" si="3"/>
        <v>#NUM!</v>
      </c>
      <c r="Y42" s="49" t="e">
        <f t="shared" si="3"/>
        <v>#NUM!</v>
      </c>
      <c r="Z42" s="49" t="e">
        <f t="shared" si="3"/>
        <v>#NUM!</v>
      </c>
      <c r="AA42" s="49" t="e">
        <f t="shared" si="3"/>
        <v>#NUM!</v>
      </c>
      <c r="AB42" s="22"/>
      <c r="AC42" s="22"/>
      <c r="AD42" s="22">
        <f t="shared" si="4"/>
        <v>8.729171152400852</v>
      </c>
      <c r="AE42" s="22" t="str">
        <f t="shared" si="4"/>
        <v>delete</v>
      </c>
      <c r="AF42" s="22" t="str">
        <f t="shared" si="4"/>
        <v>delete</v>
      </c>
      <c r="AG42" s="22" t="str">
        <f t="shared" si="4"/>
        <v>delete</v>
      </c>
      <c r="AH42" s="22" t="str">
        <f t="shared" si="4"/>
        <v>delete</v>
      </c>
      <c r="AI42" s="9"/>
      <c r="AJ42" s="43" t="e">
        <f t="shared" si="5"/>
        <v>#NUM!</v>
      </c>
      <c r="AK42" s="50"/>
    </row>
    <row r="43" spans="1:37" ht="16" x14ac:dyDescent="0.15">
      <c r="A43" s="7"/>
      <c r="B43" s="7"/>
      <c r="C43" s="245"/>
      <c r="D43" s="247">
        <v>23.57</v>
      </c>
      <c r="E43" s="247">
        <v>23.45</v>
      </c>
      <c r="F43" s="247"/>
      <c r="G43" s="45"/>
      <c r="J43" s="46"/>
      <c r="K43" s="7"/>
      <c r="L43" s="17">
        <f t="shared" si="1"/>
        <v>-0.12000000000000099</v>
      </c>
      <c r="M43" s="17" t="str">
        <f t="shared" si="1"/>
        <v>delete</v>
      </c>
      <c r="N43" s="17" t="str">
        <f t="shared" si="1"/>
        <v>delete</v>
      </c>
      <c r="O43" s="17" t="str">
        <f t="shared" si="1"/>
        <v>delete</v>
      </c>
      <c r="P43" s="17" t="str">
        <f t="shared" si="1"/>
        <v>delete</v>
      </c>
      <c r="Q43" s="7"/>
      <c r="R43" s="47">
        <f t="shared" si="2"/>
        <v>1</v>
      </c>
      <c r="S43" s="48"/>
      <c r="T43" s="9"/>
      <c r="U43" s="18" t="s">
        <v>67</v>
      </c>
      <c r="V43" s="49">
        <f t="shared" si="3"/>
        <v>315.99747169480395</v>
      </c>
      <c r="W43" s="49">
        <f t="shared" si="3"/>
        <v>315.48704948922881</v>
      </c>
      <c r="X43" s="49" t="e">
        <f t="shared" si="3"/>
        <v>#NUM!</v>
      </c>
      <c r="Y43" s="49" t="e">
        <f t="shared" si="3"/>
        <v>#NUM!</v>
      </c>
      <c r="Z43" s="49" t="e">
        <f t="shared" si="3"/>
        <v>#NUM!</v>
      </c>
      <c r="AA43" s="49" t="e">
        <f t="shared" si="3"/>
        <v>#NUM!</v>
      </c>
      <c r="AB43" s="22"/>
      <c r="AC43" s="22"/>
      <c r="AD43" s="22">
        <f t="shared" si="4"/>
        <v>-0.51042220557513929</v>
      </c>
      <c r="AE43" s="22" t="str">
        <f t="shared" si="4"/>
        <v>delete</v>
      </c>
      <c r="AF43" s="22" t="str">
        <f t="shared" si="4"/>
        <v>delete</v>
      </c>
      <c r="AG43" s="22" t="str">
        <f t="shared" si="4"/>
        <v>delete</v>
      </c>
      <c r="AH43" s="22" t="str">
        <f t="shared" si="4"/>
        <v>delete</v>
      </c>
      <c r="AI43" s="9"/>
      <c r="AJ43" s="43" t="e">
        <f t="shared" si="5"/>
        <v>#NUM!</v>
      </c>
      <c r="AK43" s="50"/>
    </row>
    <row r="44" spans="1:37" ht="16" x14ac:dyDescent="0.2">
      <c r="A44" s="7"/>
      <c r="B44" s="7"/>
      <c r="C44" s="245"/>
      <c r="D44" s="247">
        <v>26.01</v>
      </c>
      <c r="E44" s="248">
        <v>32.49</v>
      </c>
      <c r="F44" s="248"/>
      <c r="G44" s="45"/>
      <c r="J44" s="46"/>
      <c r="K44" s="7"/>
      <c r="L44" s="17">
        <f t="shared" si="1"/>
        <v>6.48</v>
      </c>
      <c r="M44" s="17" t="str">
        <f t="shared" si="1"/>
        <v>delete</v>
      </c>
      <c r="N44" s="17" t="str">
        <f t="shared" si="1"/>
        <v>delete</v>
      </c>
      <c r="O44" s="17" t="str">
        <f t="shared" si="1"/>
        <v>delete</v>
      </c>
      <c r="P44" s="17" t="str">
        <f t="shared" si="1"/>
        <v>delete</v>
      </c>
      <c r="Q44" s="7"/>
      <c r="R44" s="47">
        <f t="shared" si="2"/>
        <v>1</v>
      </c>
      <c r="S44" s="48"/>
      <c r="T44" s="9"/>
      <c r="U44" s="18" t="s">
        <v>68</v>
      </c>
      <c r="V44" s="49">
        <f t="shared" si="3"/>
        <v>325.84810794605602</v>
      </c>
      <c r="W44" s="49">
        <f t="shared" si="3"/>
        <v>348.09323496810094</v>
      </c>
      <c r="X44" s="49" t="e">
        <f t="shared" si="3"/>
        <v>#NUM!</v>
      </c>
      <c r="Y44" s="49" t="e">
        <f t="shared" si="3"/>
        <v>#NUM!</v>
      </c>
      <c r="Z44" s="49" t="e">
        <f t="shared" si="3"/>
        <v>#NUM!</v>
      </c>
      <c r="AA44" s="49" t="e">
        <f t="shared" si="3"/>
        <v>#NUM!</v>
      </c>
      <c r="AB44" s="22"/>
      <c r="AC44" s="22"/>
      <c r="AD44" s="22">
        <f t="shared" si="4"/>
        <v>22.245127022044926</v>
      </c>
      <c r="AE44" s="22" t="str">
        <f t="shared" si="4"/>
        <v>delete</v>
      </c>
      <c r="AF44" s="22" t="str">
        <f t="shared" si="4"/>
        <v>delete</v>
      </c>
      <c r="AG44" s="22" t="str">
        <f t="shared" si="4"/>
        <v>delete</v>
      </c>
      <c r="AH44" s="22" t="str">
        <f t="shared" si="4"/>
        <v>delete</v>
      </c>
      <c r="AI44" s="9"/>
      <c r="AJ44" s="43" t="e">
        <f t="shared" si="5"/>
        <v>#NUM!</v>
      </c>
      <c r="AK44" s="50"/>
    </row>
    <row r="45" spans="1:37" ht="16" x14ac:dyDescent="0.2">
      <c r="A45" s="7"/>
      <c r="B45" s="7"/>
      <c r="C45" s="245"/>
      <c r="D45" s="248">
        <v>37.61</v>
      </c>
      <c r="E45" s="248">
        <v>32.06</v>
      </c>
      <c r="F45" s="248"/>
      <c r="G45" s="45"/>
      <c r="J45" s="46"/>
      <c r="K45" s="7"/>
      <c r="L45" s="17">
        <f t="shared" si="1"/>
        <v>-5.5499999999999972</v>
      </c>
      <c r="M45" s="17" t="str">
        <f t="shared" ref="M45" si="6">IF(AND(ISNUMBER(F45),ISNUMBER(E45)),(F45-E45),"delete")</f>
        <v>delete</v>
      </c>
      <c r="N45" s="17" t="str">
        <f t="shared" si="1"/>
        <v>delete</v>
      </c>
      <c r="O45" s="17" t="str">
        <f t="shared" si="1"/>
        <v>delete</v>
      </c>
      <c r="P45" s="17" t="str">
        <f t="shared" si="1"/>
        <v>delete</v>
      </c>
      <c r="Q45" s="7"/>
      <c r="R45" s="47">
        <f t="shared" si="2"/>
        <v>1</v>
      </c>
      <c r="S45" s="48"/>
      <c r="T45" s="9"/>
      <c r="U45" s="18" t="s">
        <v>69</v>
      </c>
      <c r="V45" s="49" t="e">
        <f>100*LN(#REF!)</f>
        <v>#REF!</v>
      </c>
      <c r="W45" s="49" t="e">
        <f>100*LN(#REF!)</f>
        <v>#REF!</v>
      </c>
      <c r="X45" s="49" t="e">
        <f t="shared" si="3"/>
        <v>#NUM!</v>
      </c>
      <c r="Y45" s="49" t="e">
        <f t="shared" si="3"/>
        <v>#NUM!</v>
      </c>
      <c r="Z45" s="49" t="e">
        <f t="shared" si="3"/>
        <v>#NUM!</v>
      </c>
      <c r="AA45" s="49" t="e">
        <f t="shared" si="3"/>
        <v>#NUM!</v>
      </c>
      <c r="AB45" s="22"/>
      <c r="AC45" s="22"/>
      <c r="AD45" s="22" t="str">
        <f t="shared" si="4"/>
        <v>delete</v>
      </c>
      <c r="AE45" s="22" t="str">
        <f t="shared" si="4"/>
        <v>delete</v>
      </c>
      <c r="AF45" s="22" t="str">
        <f t="shared" si="4"/>
        <v>delete</v>
      </c>
      <c r="AG45" s="22" t="str">
        <f t="shared" si="4"/>
        <v>delete</v>
      </c>
      <c r="AH45" s="22" t="str">
        <f t="shared" si="4"/>
        <v>delete</v>
      </c>
      <c r="AI45" s="9"/>
      <c r="AJ45" s="43" t="e">
        <f t="shared" si="5"/>
        <v>#REF!</v>
      </c>
      <c r="AK45" s="50"/>
    </row>
    <row r="46" spans="1:37" x14ac:dyDescent="0.15">
      <c r="A46" s="7"/>
      <c r="B46" s="7"/>
      <c r="C46" s="51" t="s">
        <v>51</v>
      </c>
      <c r="D46" s="246">
        <f>IF(D48&gt;0,AVERAGE(D30:D45),"")</f>
        <v>31.275624999999998</v>
      </c>
      <c r="E46" s="246">
        <f>IF(E48&gt;0,AVERAGE(E30:E45),"")</f>
        <v>31.2575</v>
      </c>
      <c r="F46" s="246" t="str">
        <f>IF(F48&gt;0,AVERAGE(F30:F45),"")</f>
        <v/>
      </c>
      <c r="G46" s="52" t="str">
        <f>IF(G48&gt;0,AVERAGE(#REF!),"")</f>
        <v/>
      </c>
      <c r="H46" s="52" t="str">
        <f>IF(H48&gt;0,AVERAGE(#REF!),"")</f>
        <v/>
      </c>
      <c r="I46" s="52" t="str">
        <f>IF(I48&gt;0,AVERAGE(#REF!),"")</f>
        <v/>
      </c>
      <c r="J46" s="53">
        <f>SUMPRODUCT(D46:I46,D48:I48)/SUM(D48:I48)</f>
        <v>31.266562499999999</v>
      </c>
      <c r="K46" s="51" t="s">
        <v>70</v>
      </c>
      <c r="L46" s="52">
        <f>IF(ISNUMBER(AVERAGE(L30:L45)),AVERAGE(L30:L45),"")</f>
        <v>-1.8125000000000169E-2</v>
      </c>
      <c r="M46" s="52" t="str">
        <f>IF(ISNUMBER(AVERAGE(#REF!)),AVERAGE(#REF!),"")</f>
        <v/>
      </c>
      <c r="N46" s="52" t="str">
        <f>IF(ISNUMBER(AVERAGE(#REF!)),AVERAGE(#REF!),"")</f>
        <v/>
      </c>
      <c r="O46" s="52" t="str">
        <f>IF(ISNUMBER(AVERAGE(#REF!)),AVERAGE(#REF!),"")</f>
        <v/>
      </c>
      <c r="P46" s="54" t="str">
        <f>IF(ISNUMBER(AVERAGE(#REF!)),AVERAGE(#REF!),"")</f>
        <v/>
      </c>
      <c r="Q46" s="17" t="s">
        <v>51</v>
      </c>
      <c r="R46" s="55" t="e">
        <f>COUNTIF(#REF!,1)</f>
        <v>#REF!</v>
      </c>
      <c r="S46" s="48"/>
      <c r="T46" s="9"/>
      <c r="U46" s="56" t="s">
        <v>51</v>
      </c>
      <c r="V46" s="57" t="str">
        <f>IF(V48&gt;0,AVERAGE(#REF!),"")</f>
        <v/>
      </c>
      <c r="W46" s="57" t="str">
        <f>IF(W48&gt;0,AVERAGE(#REF!),"")</f>
        <v/>
      </c>
      <c r="X46" s="57" t="str">
        <f>IF(X48&gt;0,AVERAGE(#REF!),"")</f>
        <v/>
      </c>
      <c r="Y46" s="57" t="str">
        <f>IF(Y48&gt;0,AVERAGE(#REF!),"")</f>
        <v/>
      </c>
      <c r="Z46" s="57" t="str">
        <f>IF(Z48&gt;0,AVERAGE(#REF!),"")</f>
        <v/>
      </c>
      <c r="AA46" s="57" t="str">
        <f>IF(AA48&gt;0,AVERAGE(#REF!),"")</f>
        <v/>
      </c>
      <c r="AB46" s="58" t="e">
        <f>SUMPRODUCT(V46:AA46,V48:AA48)/SUM(V48:AA48)</f>
        <v>#DIV/0!</v>
      </c>
      <c r="AC46" s="56" t="s">
        <v>51</v>
      </c>
      <c r="AD46" s="58" t="str">
        <f>IF(ISNUMBER(AVERAGE(#REF!)),AVERAGE(#REF!),"")</f>
        <v/>
      </c>
      <c r="AE46" s="58" t="str">
        <f>IF(ISNUMBER(AVERAGE(#REF!)),AVERAGE(#REF!),"")</f>
        <v/>
      </c>
      <c r="AF46" s="58" t="str">
        <f>IF(ISNUMBER(AVERAGE(#REF!)),AVERAGE(#REF!),"")</f>
        <v/>
      </c>
      <c r="AG46" s="58" t="str">
        <f>IF(ISNUMBER(AVERAGE(#REF!)),AVERAGE(#REF!),"")</f>
        <v/>
      </c>
      <c r="AH46" s="58" t="str">
        <f>IF(ISNUMBER(AVERAGE(#REF!)),AVERAGE(#REF!),"")</f>
        <v/>
      </c>
      <c r="AI46" s="56"/>
      <c r="AJ46" s="43" t="e">
        <f>COUNTIF(#REF!,1)</f>
        <v>#REF!</v>
      </c>
      <c r="AK46" s="50"/>
    </row>
    <row r="47" spans="1:37" x14ac:dyDescent="0.15">
      <c r="A47" s="7"/>
      <c r="B47" s="7"/>
      <c r="C47" s="59" t="s">
        <v>1</v>
      </c>
      <c r="D47" s="83">
        <f>IF(D48&gt;0,STDEV(D29:D45),"")</f>
        <v>10.610424778046742</v>
      </c>
      <c r="E47" s="83">
        <f>IF(E48&gt;0,STDEV(E29:E45),"")</f>
        <v>8.9177526184967668</v>
      </c>
      <c r="F47" s="60" t="str">
        <f>IF(F48&gt;0,STDEV(#REF!),"")</f>
        <v/>
      </c>
      <c r="G47" s="60" t="str">
        <f>IF(G48&gt;0,STDEV(#REF!),"")</f>
        <v/>
      </c>
      <c r="H47" s="60" t="str">
        <f>IF(H48&gt;0,STDEV(#REF!),"")</f>
        <v/>
      </c>
      <c r="I47" s="60" t="str">
        <f>IF(I48&gt;0,STDEV(#REF!),"")</f>
        <v/>
      </c>
      <c r="J47" s="61">
        <f>SQRT(SUMPRODUCT(D47:I47,D47:I47,D50:I50)/SUM(D50:I50))</f>
        <v>9.8006996111322113</v>
      </c>
      <c r="K47" s="59" t="s">
        <v>71</v>
      </c>
      <c r="L47" s="60">
        <f>IF(ISNUMBER(STDEV(L30:L45)),STDEV(L30:L45),"")</f>
        <v>3.8993439084885377</v>
      </c>
      <c r="M47" s="60" t="str">
        <f>IF(ISNUMBER(STDEV(#REF!)),STDEV(#REF!),"")</f>
        <v/>
      </c>
      <c r="N47" s="60" t="str">
        <f>IF(ISNUMBER(STDEV(#REF!)),STDEV(#REF!),"")</f>
        <v/>
      </c>
      <c r="O47" s="60" t="str">
        <f>IF(ISNUMBER(STDEV(#REF!)),STDEV(#REF!),"")</f>
        <v/>
      </c>
      <c r="P47" s="60" t="str">
        <f>IF(ISNUMBER(STDEV(#REF!)),STDEV(#REF!),"")</f>
        <v/>
      </c>
      <c r="Q47" s="62">
        <f>SQRT(SUMPRODUCT(L47:P47,L47:P47,L71:P71)/SUM(L71:P71))</f>
        <v>3.8993439084885377</v>
      </c>
      <c r="R47" s="63"/>
      <c r="S47" s="64"/>
      <c r="T47" s="9"/>
      <c r="U47" s="56" t="s">
        <v>1</v>
      </c>
      <c r="V47" s="57" t="str">
        <f>IF(V50&gt;0,STDEV(#REF!),"")</f>
        <v/>
      </c>
      <c r="W47" s="57" t="str">
        <f>IF(W50&gt;0,STDEV(#REF!),"")</f>
        <v/>
      </c>
      <c r="X47" s="57" t="str">
        <f>IF(X50&gt;0,STDEV(#REF!),"")</f>
        <v/>
      </c>
      <c r="Y47" s="57" t="str">
        <f>IF(Y50&gt;0,STDEV(#REF!),"")</f>
        <v/>
      </c>
      <c r="Z47" s="57" t="str">
        <f>IF(Z50&gt;0,STDEV(#REF!),"")</f>
        <v/>
      </c>
      <c r="AA47" s="57" t="str">
        <f>IF(AA50&gt;0,STDEV(#REF!),"")</f>
        <v/>
      </c>
      <c r="AB47" s="58" t="e">
        <f>SQRT(SUMPRODUCT(V47:AA47,V47:AA47,V50:AA50)/SUM(V50:AA50))</f>
        <v>#DIV/0!</v>
      </c>
      <c r="AC47" s="56" t="s">
        <v>1</v>
      </c>
      <c r="AD47" s="58" t="str">
        <f>IF(ISNUMBER(STDEV(#REF!)),STDEV(#REF!),"")</f>
        <v/>
      </c>
      <c r="AE47" s="58" t="str">
        <f>IF(ISNUMBER(STDEV(#REF!)),STDEV(#REF!),"")</f>
        <v/>
      </c>
      <c r="AF47" s="58" t="str">
        <f>IF(ISNUMBER(STDEV(#REF!)),STDEV(#REF!),"")</f>
        <v/>
      </c>
      <c r="AG47" s="58" t="str">
        <f>IF(ISNUMBER(STDEV(#REF!)),STDEV(#REF!),"")</f>
        <v/>
      </c>
      <c r="AH47" s="58" t="str">
        <f>IF(ISNUMBER(STDEV(#REF!)),STDEV(#REF!),"")</f>
        <v/>
      </c>
      <c r="AI47" s="65" t="e">
        <f>IF(AI123,SQRT(SUMPRODUCT(AD47:AH47,AD47:AH47,AD123:AH123)/SUM(AD123:AH123)),"")</f>
        <v>#REF!</v>
      </c>
      <c r="AJ47" s="43"/>
    </row>
    <row r="48" spans="1:37" x14ac:dyDescent="0.15">
      <c r="A48" s="7"/>
      <c r="B48" s="7"/>
      <c r="C48" s="59" t="s">
        <v>72</v>
      </c>
      <c r="D48" s="66">
        <f>IF(OR(ISBLANK(D49),D49=0),0,COUNT(D30:D45))</f>
        <v>16</v>
      </c>
      <c r="E48" s="66">
        <f>IF(OR(ISBLANK(E49),E49=0),0,COUNT(E30:E45))</f>
        <v>16</v>
      </c>
      <c r="F48" s="66">
        <f>IF(OR(ISBLANK(F49),F49=0),0,COUNT(#REF!))</f>
        <v>0</v>
      </c>
      <c r="G48" s="66">
        <f>IF(OR(ISBLANK(G49),G49=0),0,COUNT(#REF!))</f>
        <v>0</v>
      </c>
      <c r="H48" s="66">
        <f>IF(OR(ISBLANK(H49),H49=0),0,COUNT(#REF!))</f>
        <v>0</v>
      </c>
      <c r="I48" s="66">
        <f>IF(OR(ISBLANK(I49),I49=0),0,COUNT(#REF!))</f>
        <v>0</v>
      </c>
      <c r="J48" s="67" t="e">
        <f>R46</f>
        <v>#REF!</v>
      </c>
      <c r="K48" s="68" t="s">
        <v>72</v>
      </c>
      <c r="L48" s="69">
        <f>COUNT(L30:L45)</f>
        <v>16</v>
      </c>
      <c r="M48" s="69">
        <f>COUNT(#REF!)</f>
        <v>0</v>
      </c>
      <c r="N48" s="69">
        <f>COUNT(#REF!)</f>
        <v>0</v>
      </c>
      <c r="O48" s="69">
        <f>COUNT(#REF!)</f>
        <v>0</v>
      </c>
      <c r="P48" s="69">
        <f>COUNT(#REF!)</f>
        <v>0</v>
      </c>
      <c r="Q48" s="70" t="e">
        <f>R46</f>
        <v>#REF!</v>
      </c>
      <c r="R48" s="7"/>
      <c r="S48" s="9"/>
      <c r="T48" s="9"/>
      <c r="U48" s="56" t="s">
        <v>73</v>
      </c>
      <c r="V48" s="71">
        <f>IF(OR(ISBLANK(V49),V49=0),0,COUNT(#REF!))</f>
        <v>0</v>
      </c>
      <c r="W48" s="71">
        <f>IF(OR(ISBLANK(W49),W49=0),0,COUNT(#REF!))</f>
        <v>0</v>
      </c>
      <c r="X48" s="71">
        <f>IF(OR(ISBLANK(X49),X49=0),0,COUNT(#REF!))</f>
        <v>0</v>
      </c>
      <c r="Y48" s="71">
        <f>IF(OR(ISBLANK(Y49),Y49=0),0,COUNT(#REF!))</f>
        <v>0</v>
      </c>
      <c r="Z48" s="71">
        <f>IF(OR(ISBLANK(Z49),Z49=0),0,COUNT(#REF!))</f>
        <v>0</v>
      </c>
      <c r="AA48" s="71">
        <f>IF(OR(ISBLANK(AA49),AA49=0),0,COUNT(#REF!))</f>
        <v>0</v>
      </c>
      <c r="AB48" s="22"/>
      <c r="AC48" s="56" t="s">
        <v>73</v>
      </c>
      <c r="AD48" s="71">
        <f>COUNT(#REF!)</f>
        <v>0</v>
      </c>
      <c r="AE48" s="71">
        <f>COUNT(#REF!)</f>
        <v>0</v>
      </c>
      <c r="AF48" s="71">
        <f>COUNT(#REF!)</f>
        <v>0</v>
      </c>
      <c r="AG48" s="71">
        <f>COUNT(#REF!)</f>
        <v>0</v>
      </c>
      <c r="AH48" s="71">
        <f>COUNT(#REF!)</f>
        <v>0</v>
      </c>
      <c r="AI48" s="65"/>
      <c r="AJ48" s="65"/>
    </row>
    <row r="49" spans="1:44" x14ac:dyDescent="0.15">
      <c r="A49" s="7"/>
      <c r="B49" s="7"/>
      <c r="C49" s="72" t="s">
        <v>74</v>
      </c>
      <c r="D49" s="73">
        <v>1</v>
      </c>
      <c r="E49" s="73">
        <v>1</v>
      </c>
      <c r="F49" s="73">
        <v>1</v>
      </c>
      <c r="G49" s="73">
        <v>1</v>
      </c>
      <c r="H49" s="73">
        <v>0</v>
      </c>
      <c r="I49" s="73">
        <v>0</v>
      </c>
      <c r="J49" s="74"/>
      <c r="K49" s="13"/>
      <c r="L49" s="75"/>
      <c r="M49" s="75"/>
      <c r="N49" s="75"/>
      <c r="O49" s="75"/>
      <c r="P49" s="75"/>
      <c r="Q49" s="7"/>
      <c r="R49" s="7"/>
      <c r="S49" s="9"/>
      <c r="T49" s="9"/>
      <c r="U49" s="76" t="s">
        <v>74</v>
      </c>
      <c r="V49" s="77">
        <f t="shared" ref="V49:AA49" si="7">D49</f>
        <v>1</v>
      </c>
      <c r="W49" s="77">
        <f t="shared" si="7"/>
        <v>1</v>
      </c>
      <c r="X49" s="77">
        <f t="shared" si="7"/>
        <v>1</v>
      </c>
      <c r="Y49" s="77">
        <f t="shared" si="7"/>
        <v>1</v>
      </c>
      <c r="Z49" s="77">
        <f t="shared" si="7"/>
        <v>0</v>
      </c>
      <c r="AA49" s="77">
        <f t="shared" si="7"/>
        <v>0</v>
      </c>
      <c r="AB49" s="78"/>
      <c r="AC49" s="56"/>
      <c r="AD49" s="71"/>
      <c r="AE49" s="71"/>
      <c r="AF49" s="71"/>
      <c r="AG49" s="71"/>
      <c r="AH49" s="71"/>
      <c r="AI49" s="65"/>
      <c r="AJ49" s="65"/>
    </row>
    <row r="50" spans="1:44" x14ac:dyDescent="0.15">
      <c r="A50" s="7"/>
      <c r="B50" s="7"/>
      <c r="C50" s="79" t="s">
        <v>75</v>
      </c>
      <c r="D50" s="80">
        <f t="shared" ref="D50:I50" si="8">IF(D48=0,0,D48-1)</f>
        <v>15</v>
      </c>
      <c r="E50" s="80">
        <f t="shared" si="8"/>
        <v>15</v>
      </c>
      <c r="F50" s="80">
        <f t="shared" si="8"/>
        <v>0</v>
      </c>
      <c r="G50" s="80">
        <f t="shared" si="8"/>
        <v>0</v>
      </c>
      <c r="H50" s="80">
        <f t="shared" si="8"/>
        <v>0</v>
      </c>
      <c r="I50" s="80">
        <f t="shared" si="8"/>
        <v>0</v>
      </c>
      <c r="J50" s="80" t="e">
        <f>J48-1</f>
        <v>#REF!</v>
      </c>
      <c r="K50" s="13"/>
      <c r="L50" s="81"/>
      <c r="M50" s="81"/>
      <c r="N50" s="81"/>
      <c r="O50" s="81"/>
      <c r="P50" s="81"/>
      <c r="Q50" s="7"/>
      <c r="R50" s="7"/>
      <c r="S50" s="9"/>
      <c r="T50" s="9"/>
      <c r="U50" s="56" t="s">
        <v>75</v>
      </c>
      <c r="V50" s="71">
        <f t="shared" ref="V50:AA50" si="9">IF(V48=0,0,V48-1)</f>
        <v>0</v>
      </c>
      <c r="W50" s="71">
        <f t="shared" si="9"/>
        <v>0</v>
      </c>
      <c r="X50" s="71">
        <f t="shared" si="9"/>
        <v>0</v>
      </c>
      <c r="Y50" s="71">
        <f t="shared" si="9"/>
        <v>0</v>
      </c>
      <c r="Z50" s="71">
        <f t="shared" si="9"/>
        <v>0</v>
      </c>
      <c r="AA50" s="71">
        <f t="shared" si="9"/>
        <v>0</v>
      </c>
      <c r="AB50" s="22" t="s">
        <v>51</v>
      </c>
      <c r="AC50" s="82" t="s">
        <v>76</v>
      </c>
      <c r="AD50" s="52" t="str">
        <f t="shared" ref="AD50:AH51" si="10">IF(ISNUMBER(AD46),EXP(AD46/100),"")</f>
        <v/>
      </c>
      <c r="AE50" s="52" t="str">
        <f t="shared" si="10"/>
        <v/>
      </c>
      <c r="AF50" s="52" t="str">
        <f t="shared" si="10"/>
        <v/>
      </c>
      <c r="AG50" s="52" t="str">
        <f t="shared" si="10"/>
        <v/>
      </c>
      <c r="AH50" s="54" t="str">
        <f t="shared" si="10"/>
        <v/>
      </c>
      <c r="AI50" s="22" t="s">
        <v>51</v>
      </c>
      <c r="AJ50" s="9"/>
    </row>
    <row r="51" spans="1:44" x14ac:dyDescent="0.15">
      <c r="A51" s="7"/>
      <c r="B51" s="7"/>
      <c r="C51" s="7"/>
      <c r="D51" s="7"/>
      <c r="E51" s="7"/>
      <c r="F51" s="7"/>
      <c r="G51" s="7"/>
      <c r="H51" s="7"/>
      <c r="I51" s="7"/>
      <c r="J51" s="7"/>
      <c r="K51" s="7"/>
      <c r="L51" s="81"/>
      <c r="M51" s="81"/>
      <c r="N51" s="81"/>
      <c r="O51" s="81"/>
      <c r="P51" s="81"/>
      <c r="Q51" s="7"/>
      <c r="R51" s="7"/>
      <c r="S51" s="9"/>
      <c r="T51" s="9"/>
      <c r="U51" s="82" t="s">
        <v>77</v>
      </c>
      <c r="V51" s="52" t="str">
        <f t="shared" ref="V51:AB52" si="11">IF(ISNUMBER(V46),EXP(V46/100),"")</f>
        <v/>
      </c>
      <c r="W51" s="52" t="str">
        <f t="shared" si="11"/>
        <v/>
      </c>
      <c r="X51" s="52" t="str">
        <f t="shared" si="11"/>
        <v/>
      </c>
      <c r="Y51" s="52" t="str">
        <f t="shared" si="11"/>
        <v/>
      </c>
      <c r="Z51" s="52" t="str">
        <f t="shared" si="11"/>
        <v/>
      </c>
      <c r="AA51" s="52" t="str">
        <f t="shared" si="11"/>
        <v/>
      </c>
      <c r="AB51" s="53" t="str">
        <f t="shared" si="11"/>
        <v/>
      </c>
      <c r="AC51" s="18" t="s">
        <v>78</v>
      </c>
      <c r="AD51" s="83" t="str">
        <f t="shared" si="10"/>
        <v/>
      </c>
      <c r="AE51" s="83" t="str">
        <f t="shared" si="10"/>
        <v/>
      </c>
      <c r="AF51" s="83" t="str">
        <f t="shared" si="10"/>
        <v/>
      </c>
      <c r="AG51" s="83" t="str">
        <f t="shared" si="10"/>
        <v/>
      </c>
      <c r="AH51" s="83" t="str">
        <f t="shared" si="10"/>
        <v/>
      </c>
      <c r="AI51" s="84" t="str">
        <f>IF(ISNUMBER(AI72),EXP(AI47/100),"")</f>
        <v/>
      </c>
      <c r="AJ51" s="9"/>
    </row>
    <row r="52" spans="1:44" x14ac:dyDescent="0.15">
      <c r="A52" s="13"/>
      <c r="B52" s="7"/>
      <c r="C52" s="13"/>
      <c r="D52" s="13"/>
      <c r="E52" s="13"/>
      <c r="F52" s="13"/>
      <c r="G52" s="7"/>
      <c r="H52" s="7"/>
      <c r="I52" s="7"/>
      <c r="J52" s="7"/>
      <c r="K52" s="7"/>
      <c r="L52" s="7"/>
      <c r="M52" s="7"/>
      <c r="N52" s="7"/>
      <c r="O52" s="7"/>
      <c r="P52" s="7"/>
      <c r="Q52" s="7"/>
      <c r="R52" s="7"/>
      <c r="S52" s="9"/>
      <c r="T52" s="9"/>
      <c r="U52" s="85" t="s">
        <v>79</v>
      </c>
      <c r="V52" s="83" t="str">
        <f t="shared" si="11"/>
        <v/>
      </c>
      <c r="W52" s="83" t="str">
        <f t="shared" si="11"/>
        <v/>
      </c>
      <c r="X52" s="83" t="str">
        <f t="shared" si="11"/>
        <v/>
      </c>
      <c r="Y52" s="83" t="str">
        <f t="shared" si="11"/>
        <v/>
      </c>
      <c r="Z52" s="83" t="str">
        <f t="shared" si="11"/>
        <v/>
      </c>
      <c r="AA52" s="83" t="str">
        <f t="shared" si="11"/>
        <v/>
      </c>
      <c r="AB52" s="86" t="str">
        <f t="shared" si="11"/>
        <v/>
      </c>
      <c r="AC52" s="18" t="s">
        <v>80</v>
      </c>
      <c r="AD52" s="60" t="str">
        <f>IF(ISNUMBER(AD46),100*EXP(AD46/100)-100,"")</f>
        <v/>
      </c>
      <c r="AE52" s="60" t="str">
        <f>IF(ISNUMBER(AE46),100*EXP(AE46/100)-100,"")</f>
        <v/>
      </c>
      <c r="AF52" s="60" t="str">
        <f>IF(ISNUMBER(AF46),100*EXP(AF46/100)-100,"")</f>
        <v/>
      </c>
      <c r="AG52" s="60" t="str">
        <f>IF(ISNUMBER(AG46),100*EXP(AG46/100)-100,"")</f>
        <v/>
      </c>
      <c r="AH52" s="87" t="str">
        <f>IF(ISNUMBER(AH46),100*EXP(AH46/100)-100,"")</f>
        <v/>
      </c>
      <c r="AI52" s="9"/>
      <c r="AJ52" s="9"/>
    </row>
    <row r="53" spans="1:44" ht="14" x14ac:dyDescent="0.15">
      <c r="A53" s="13"/>
      <c r="B53" s="7" t="s">
        <v>81</v>
      </c>
      <c r="C53" s="88"/>
      <c r="D53" s="88"/>
      <c r="E53" s="7"/>
      <c r="F53" s="7"/>
      <c r="G53" s="7"/>
      <c r="H53" s="7"/>
      <c r="I53" s="7"/>
      <c r="J53" s="7"/>
      <c r="K53" s="7"/>
      <c r="L53" s="7"/>
      <c r="M53" s="7"/>
      <c r="N53" s="7"/>
      <c r="O53" s="7"/>
      <c r="P53" s="7"/>
      <c r="Q53" s="7"/>
      <c r="R53" s="7"/>
      <c r="S53" s="9"/>
      <c r="T53" s="32"/>
      <c r="U53" s="85" t="s">
        <v>82</v>
      </c>
      <c r="V53" s="60" t="str">
        <f t="shared" ref="V53:AB53" si="12">IF(ISNUMBER(V52),100*V52-100,"")</f>
        <v/>
      </c>
      <c r="W53" s="60" t="str">
        <f t="shared" si="12"/>
        <v/>
      </c>
      <c r="X53" s="60" t="str">
        <f t="shared" si="12"/>
        <v/>
      </c>
      <c r="Y53" s="60" t="str">
        <f t="shared" si="12"/>
        <v/>
      </c>
      <c r="Z53" s="60" t="str">
        <f t="shared" si="12"/>
        <v/>
      </c>
      <c r="AA53" s="60" t="str">
        <f t="shared" si="12"/>
        <v/>
      </c>
      <c r="AB53" s="87" t="str">
        <f t="shared" si="12"/>
        <v/>
      </c>
      <c r="AC53" s="18" t="s">
        <v>83</v>
      </c>
      <c r="AD53" s="60" t="str">
        <f>IF(ISNUMBER(AD51),100*AD51-100,"")</f>
        <v/>
      </c>
      <c r="AE53" s="60" t="str">
        <f>IF(ISNUMBER(AE51),100*AE51-100,"")</f>
        <v/>
      </c>
      <c r="AF53" s="60" t="str">
        <f>IF(ISNUMBER(AF51),100*AF51-100,"")</f>
        <v/>
      </c>
      <c r="AG53" s="60" t="str">
        <f>IF(ISNUMBER(AG51),100*AG51-100,"")</f>
        <v/>
      </c>
      <c r="AH53" s="60" t="str">
        <f>IF(ISNUMBER(AH51),100*AH51-100,"")</f>
        <v/>
      </c>
      <c r="AI53" s="54" t="str">
        <f>IF(ISNUMBER(AI72),100*EXP(AI47/100)-100,"")</f>
        <v/>
      </c>
      <c r="AJ53" s="9"/>
    </row>
    <row r="54" spans="1:44" s="34" customFormat="1" ht="16" x14ac:dyDescent="0.2">
      <c r="A54" s="23"/>
      <c r="B54" s="23"/>
      <c r="C54" s="23"/>
      <c r="D54" s="23"/>
      <c r="E54" s="23"/>
      <c r="F54" s="23"/>
      <c r="G54" s="23"/>
      <c r="H54" s="23"/>
      <c r="I54" s="7"/>
      <c r="J54" s="89" t="s">
        <v>84</v>
      </c>
      <c r="K54" s="90"/>
      <c r="L54" s="90"/>
      <c r="M54" s="90"/>
      <c r="N54" s="90"/>
      <c r="O54" s="91"/>
      <c r="P54" s="91"/>
      <c r="Q54" s="92"/>
      <c r="R54" s="27"/>
      <c r="S54" s="9"/>
      <c r="T54" s="32"/>
      <c r="U54" s="93" t="s">
        <v>72</v>
      </c>
      <c r="V54" s="69">
        <f t="shared" ref="V54:AA54" si="13">V48</f>
        <v>0</v>
      </c>
      <c r="W54" s="69">
        <f t="shared" si="13"/>
        <v>0</v>
      </c>
      <c r="X54" s="69">
        <f t="shared" si="13"/>
        <v>0</v>
      </c>
      <c r="Y54" s="69">
        <f t="shared" si="13"/>
        <v>0</v>
      </c>
      <c r="Z54" s="69">
        <f t="shared" si="13"/>
        <v>0</v>
      </c>
      <c r="AA54" s="69">
        <f t="shared" si="13"/>
        <v>0</v>
      </c>
      <c r="AB54" s="94" t="e">
        <f>IF(AJ46,AJ46,"")</f>
        <v>#REF!</v>
      </c>
      <c r="AC54" s="95" t="s">
        <v>72</v>
      </c>
      <c r="AD54" s="69">
        <f>AD48</f>
        <v>0</v>
      </c>
      <c r="AE54" s="69">
        <f>AE48</f>
        <v>0</v>
      </c>
      <c r="AF54" s="69">
        <f>AF48</f>
        <v>0</v>
      </c>
      <c r="AG54" s="69">
        <f>AG48</f>
        <v>0</v>
      </c>
      <c r="AH54" s="69">
        <f>AH48</f>
        <v>0</v>
      </c>
      <c r="AI54" s="94" t="e">
        <f>IF(AJ46,AJ46,"")</f>
        <v>#REF!</v>
      </c>
      <c r="AJ54" s="9"/>
    </row>
    <row r="55" spans="1:44" s="104" customFormat="1" ht="16" x14ac:dyDescent="0.2">
      <c r="A55" s="96"/>
      <c r="B55" s="96"/>
      <c r="C55" s="96"/>
      <c r="D55" s="96"/>
      <c r="E55" s="96"/>
      <c r="F55" s="96"/>
      <c r="G55" s="96"/>
      <c r="H55" s="96"/>
      <c r="I55" s="96"/>
      <c r="J55" s="97" t="s">
        <v>85</v>
      </c>
      <c r="K55" s="35" t="s">
        <v>86</v>
      </c>
      <c r="L55" s="96" t="str">
        <f>L29</f>
        <v>2-1</v>
      </c>
      <c r="M55" s="96" t="str">
        <f>M29</f>
        <v>3-2</v>
      </c>
      <c r="N55" s="96" t="str">
        <f>N29</f>
        <v>4-3</v>
      </c>
      <c r="O55" s="96" t="str">
        <f>O29</f>
        <v>5-4</v>
      </c>
      <c r="P55" s="96" t="str">
        <f>P29</f>
        <v>6-5</v>
      </c>
      <c r="Q55" s="98" t="s">
        <v>51</v>
      </c>
      <c r="R55" s="17"/>
      <c r="S55" s="32"/>
      <c r="T55" s="32"/>
      <c r="U55" s="32"/>
      <c r="V55" s="32"/>
      <c r="W55" s="32"/>
      <c r="X55" s="32"/>
      <c r="Y55" s="32"/>
      <c r="Z55" s="32"/>
      <c r="AA55" s="30"/>
      <c r="AB55" s="99" t="s">
        <v>87</v>
      </c>
      <c r="AC55" s="100"/>
      <c r="AD55" s="100"/>
      <c r="AE55" s="100"/>
      <c r="AF55" s="100"/>
      <c r="AG55" s="100"/>
      <c r="AH55" s="101"/>
      <c r="AI55" s="102"/>
      <c r="AJ55" s="103"/>
      <c r="AK55" s="34"/>
      <c r="AL55" s="34"/>
      <c r="AM55" s="34"/>
      <c r="AN55" s="34"/>
      <c r="AO55" s="34"/>
      <c r="AP55" s="34"/>
      <c r="AQ55" s="34"/>
      <c r="AR55" s="34"/>
    </row>
    <row r="56" spans="1:44" s="3" customFormat="1" ht="14" x14ac:dyDescent="0.15">
      <c r="A56" s="105"/>
      <c r="B56" s="105"/>
      <c r="C56" s="105"/>
      <c r="D56" s="105"/>
      <c r="E56" s="105"/>
      <c r="F56" s="105"/>
      <c r="G56" s="105"/>
      <c r="H56" s="106" t="s">
        <v>88</v>
      </c>
      <c r="I56" s="105"/>
      <c r="J56" s="107"/>
      <c r="K56" s="108" t="s">
        <v>89</v>
      </c>
      <c r="L56" s="109">
        <f>IF(L71,L46,"")</f>
        <v>-1.8125000000000169E-2</v>
      </c>
      <c r="M56" s="110" t="str">
        <f>IF(M71,M46,"")</f>
        <v/>
      </c>
      <c r="N56" s="110" t="str">
        <f>IF(N71,N46,"")</f>
        <v/>
      </c>
      <c r="O56" s="110" t="str">
        <f>IF(O71,O46,"")</f>
        <v/>
      </c>
      <c r="P56" s="110" t="str">
        <f>IF(P71,P46,"")</f>
        <v/>
      </c>
      <c r="Q56" s="111"/>
      <c r="R56" s="112"/>
      <c r="S56" s="22"/>
      <c r="T56" s="113" t="s">
        <v>90</v>
      </c>
      <c r="U56" s="22"/>
      <c r="V56" s="22"/>
      <c r="W56" s="22"/>
      <c r="X56" s="22"/>
      <c r="Y56" s="22"/>
      <c r="Z56" s="22"/>
      <c r="AA56" s="42"/>
      <c r="AB56" s="114" t="s">
        <v>91</v>
      </c>
      <c r="AC56" s="95" t="s">
        <v>86</v>
      </c>
      <c r="AD56" s="41" t="str">
        <f>L29</f>
        <v>2-1</v>
      </c>
      <c r="AE56" s="41" t="str">
        <f>M29</f>
        <v>3-2</v>
      </c>
      <c r="AF56" s="41" t="str">
        <f>N29</f>
        <v>4-3</v>
      </c>
      <c r="AG56" s="41" t="str">
        <f>O29</f>
        <v>5-4</v>
      </c>
      <c r="AH56" s="41" t="str">
        <f>P29</f>
        <v>6-5</v>
      </c>
      <c r="AI56" s="115" t="s">
        <v>51</v>
      </c>
      <c r="AJ56" s="42"/>
      <c r="AK56" s="34"/>
      <c r="AL56" s="34"/>
      <c r="AM56" s="34"/>
      <c r="AN56" s="34"/>
      <c r="AO56" s="34"/>
      <c r="AP56" s="34"/>
      <c r="AQ56" s="34"/>
      <c r="AR56" s="34"/>
    </row>
    <row r="57" spans="1:44" ht="14" x14ac:dyDescent="0.15">
      <c r="A57" s="7"/>
      <c r="B57" s="7"/>
      <c r="C57" s="7"/>
      <c r="D57" s="7"/>
      <c r="E57" s="7"/>
      <c r="F57" s="7"/>
      <c r="G57" s="7"/>
      <c r="H57" s="116">
        <f>TTEST(D30:D45,E30:E45,2,1)</f>
        <v>0.98541095276306334</v>
      </c>
      <c r="I57" s="7"/>
      <c r="J57" s="117"/>
      <c r="K57" s="13" t="s">
        <v>92</v>
      </c>
      <c r="L57" s="118">
        <f>IF(L71,L56-TINV(1-$D$27/100,L71)*L47/SQRT(L48),"")</f>
        <v>-2.095938700432292</v>
      </c>
      <c r="M57" s="119" t="str">
        <f>IF(M71,M56-TINV(1-$D$27/100,M71)*M47/SQRT(M48),"")</f>
        <v/>
      </c>
      <c r="N57" s="119" t="str">
        <f>IF(N71,N56-TINV(1-$D$27/100,N71)*N47/SQRT(N48),"")</f>
        <v/>
      </c>
      <c r="O57" s="119" t="str">
        <f>IF(O71,O56-TINV(1-$D$27/100,O71)*O47/SQRT(O48),"")</f>
        <v/>
      </c>
      <c r="P57" s="119" t="str">
        <f>IF(P71,P56-TINV(1-$D$27/100,P71)*P47/SQRT(P48),"")</f>
        <v/>
      </c>
      <c r="Q57" s="98"/>
      <c r="R57" s="17" t="s">
        <v>93</v>
      </c>
      <c r="S57" s="120"/>
      <c r="T57" s="121" t="s">
        <v>94</v>
      </c>
      <c r="U57" s="120"/>
      <c r="V57" s="120"/>
      <c r="W57" s="120"/>
      <c r="X57" s="120"/>
      <c r="Y57" s="120"/>
      <c r="Z57" s="120"/>
      <c r="AA57" s="122"/>
      <c r="AB57" s="123"/>
      <c r="AC57" s="124" t="s">
        <v>76</v>
      </c>
      <c r="AD57" s="125" t="str">
        <f t="shared" ref="AD57:AH59" si="14">IF(ISNUMBER(AD110),EXP(AD110/100),"")</f>
        <v/>
      </c>
      <c r="AE57" s="125" t="str">
        <f t="shared" si="14"/>
        <v/>
      </c>
      <c r="AF57" s="125" t="str">
        <f t="shared" si="14"/>
        <v/>
      </c>
      <c r="AG57" s="125" t="str">
        <f t="shared" si="14"/>
        <v/>
      </c>
      <c r="AH57" s="125" t="str">
        <f t="shared" si="14"/>
        <v/>
      </c>
      <c r="AI57" s="126"/>
      <c r="AJ57" s="127"/>
      <c r="AK57" s="34"/>
      <c r="AL57" s="34"/>
      <c r="AM57" s="34"/>
      <c r="AN57" s="34"/>
      <c r="AO57" s="34"/>
      <c r="AP57" s="34"/>
      <c r="AQ57" s="34"/>
      <c r="AR57" s="34"/>
    </row>
    <row r="58" spans="1:44" ht="14" x14ac:dyDescent="0.15">
      <c r="A58" s="7"/>
      <c r="B58" s="7"/>
      <c r="C58" s="7"/>
      <c r="D58" s="7"/>
      <c r="E58" s="7"/>
      <c r="F58" s="7"/>
      <c r="G58" s="7"/>
      <c r="H58" s="7"/>
      <c r="I58" s="7"/>
      <c r="J58" s="117"/>
      <c r="K58" s="13" t="s">
        <v>95</v>
      </c>
      <c r="L58" s="118">
        <f>IF(L71,L56+TINV(1-$D$27/100,L71)*L47/SQRT(L48),"")</f>
        <v>2.0596887004322912</v>
      </c>
      <c r="M58" s="128" t="str">
        <f>IF(M71,M56+TINV(1-$D$27/100,M71)*M47/SQRT(M48),"")</f>
        <v/>
      </c>
      <c r="N58" s="128" t="str">
        <f>IF(N71,N56+TINV(1-$D$27/100,N71)*N47/SQRT(N48),"")</f>
        <v/>
      </c>
      <c r="O58" s="128" t="str">
        <f>IF(O71,O56+TINV(1-$D$27/100,O71)*O47/SQRT(O48),"")</f>
        <v/>
      </c>
      <c r="P58" s="128" t="str">
        <f>IF(P71,P56+TINV(1-$D$27/100,P71)*P47/SQRT(P48),"")</f>
        <v/>
      </c>
      <c r="Q58" s="98"/>
      <c r="R58" s="17"/>
      <c r="S58" s="22"/>
      <c r="T58" s="22"/>
      <c r="U58" s="22"/>
      <c r="V58" s="22"/>
      <c r="W58" s="22"/>
      <c r="X58" s="22"/>
      <c r="Y58" s="22"/>
      <c r="Z58" s="22"/>
      <c r="AA58" s="9"/>
      <c r="AB58" s="129"/>
      <c r="AC58" s="18" t="s">
        <v>92</v>
      </c>
      <c r="AD58" s="119" t="str">
        <f t="shared" si="14"/>
        <v/>
      </c>
      <c r="AE58" s="119" t="str">
        <f t="shared" si="14"/>
        <v/>
      </c>
      <c r="AF58" s="119" t="str">
        <f t="shared" si="14"/>
        <v/>
      </c>
      <c r="AG58" s="119" t="str">
        <f t="shared" si="14"/>
        <v/>
      </c>
      <c r="AH58" s="119" t="str">
        <f t="shared" si="14"/>
        <v/>
      </c>
      <c r="AI58" s="130"/>
      <c r="AJ58" s="131"/>
      <c r="AK58" s="34"/>
      <c r="AL58" s="34"/>
      <c r="AM58" s="34"/>
      <c r="AN58" s="34"/>
      <c r="AO58" s="34"/>
      <c r="AP58" s="34"/>
      <c r="AQ58" s="34"/>
      <c r="AR58" s="34"/>
    </row>
    <row r="59" spans="1:44" s="3" customFormat="1" ht="14" x14ac:dyDescent="0.15">
      <c r="A59" s="105"/>
      <c r="B59" s="105"/>
      <c r="C59" s="105"/>
      <c r="D59" s="105"/>
      <c r="E59" s="105"/>
      <c r="F59" s="105"/>
      <c r="G59" s="105"/>
      <c r="H59" s="106" t="s">
        <v>0</v>
      </c>
      <c r="I59" s="105"/>
      <c r="J59" s="117"/>
      <c r="K59" s="13" t="s">
        <v>96</v>
      </c>
      <c r="L59" s="83">
        <f>IF(L71,(L58-L57)/2,"")</f>
        <v>2.0778137004322916</v>
      </c>
      <c r="M59" s="83" t="str">
        <f>IF(M71,(M58-M57)/2,"")</f>
        <v/>
      </c>
      <c r="N59" s="83" t="str">
        <f>IF(N71,(N58-N57)/2,"")</f>
        <v/>
      </c>
      <c r="O59" s="83" t="str">
        <f>IF(O71,(O58-O57)/2,"")</f>
        <v/>
      </c>
      <c r="P59" s="83" t="str">
        <f>IF(P71,(P58-P57)/2,"")</f>
        <v/>
      </c>
      <c r="Q59" s="98"/>
      <c r="R59" s="132"/>
      <c r="S59" s="22"/>
      <c r="T59" s="22"/>
      <c r="U59" s="22"/>
      <c r="V59" s="22"/>
      <c r="W59" s="22"/>
      <c r="X59" s="22"/>
      <c r="Y59" s="22"/>
      <c r="Z59" s="22"/>
      <c r="AA59" s="9"/>
      <c r="AB59" s="129"/>
      <c r="AC59" s="18" t="s">
        <v>95</v>
      </c>
      <c r="AD59" s="133" t="str">
        <f t="shared" si="14"/>
        <v/>
      </c>
      <c r="AE59" s="133" t="str">
        <f t="shared" si="14"/>
        <v/>
      </c>
      <c r="AF59" s="133" t="str">
        <f t="shared" si="14"/>
        <v/>
      </c>
      <c r="AG59" s="133" t="str">
        <f t="shared" si="14"/>
        <v/>
      </c>
      <c r="AH59" s="133" t="str">
        <f t="shared" si="14"/>
        <v/>
      </c>
      <c r="AI59" s="134"/>
      <c r="AJ59" s="135"/>
      <c r="AK59" s="34"/>
      <c r="AL59" s="34"/>
      <c r="AM59" s="34"/>
      <c r="AN59" s="34"/>
      <c r="AO59" s="34"/>
      <c r="AP59" s="34"/>
      <c r="AQ59" s="34"/>
      <c r="AR59" s="34"/>
    </row>
    <row r="60" spans="1:44" ht="14" x14ac:dyDescent="0.15">
      <c r="A60" s="7"/>
      <c r="B60" s="7"/>
      <c r="C60" s="7"/>
      <c r="D60" s="7"/>
      <c r="E60" s="7"/>
      <c r="F60" s="7"/>
      <c r="G60" s="7"/>
      <c r="H60" s="136">
        <f>L60/$J$46*100</f>
        <v>8.8185342404388116</v>
      </c>
      <c r="I60" s="7"/>
      <c r="J60" s="137"/>
      <c r="K60" s="138" t="s">
        <v>97</v>
      </c>
      <c r="L60" s="139">
        <f>IF(L71,STDEV(L30:L45)/SQRT(2),"")</f>
        <v>2.7572525198707014</v>
      </c>
      <c r="M60" s="125" t="str">
        <f>IF(M71,STDEV(#REF!)/SQRT(2),"")</f>
        <v/>
      </c>
      <c r="N60" s="125" t="str">
        <f>IF(N71,STDEV(#REF!)/SQRT(2),"")</f>
        <v/>
      </c>
      <c r="O60" s="125" t="str">
        <f>IF(O71,STDEV(#REF!)/SQRT(2),"")</f>
        <v/>
      </c>
      <c r="P60" s="125" t="str">
        <f>IF(P71,STDEV(#REF!)/SQRT(2),"")</f>
        <v/>
      </c>
      <c r="Q60" s="140">
        <f>SQRT(SUMPRODUCT(L60:P60,L60:P60,L71:P71)/SUM(L71:P71))</f>
        <v>2.7572525198707014</v>
      </c>
      <c r="R60" s="141"/>
      <c r="S60" s="142"/>
      <c r="T60" s="142"/>
      <c r="U60" s="142"/>
      <c r="V60" s="142"/>
      <c r="W60" s="142"/>
      <c r="X60" s="142"/>
      <c r="Y60" s="142"/>
      <c r="Z60" s="142"/>
      <c r="AA60" s="122"/>
      <c r="AB60" s="129"/>
      <c r="AC60" s="18" t="s">
        <v>98</v>
      </c>
      <c r="AD60" s="83" t="str">
        <f>IF(ISNUMBER(AD57),SQRT(AD59/AD58),"")</f>
        <v/>
      </c>
      <c r="AE60" s="83" t="str">
        <f>IF(ISNUMBER(AE57),SQRT(AE59/AE58),"")</f>
        <v/>
      </c>
      <c r="AF60" s="83" t="str">
        <f>IF(ISNUMBER(AF57),SQRT(AF59/AF58),"")</f>
        <v/>
      </c>
      <c r="AG60" s="83" t="str">
        <f>IF(ISNUMBER(AG57),SQRT(AG59/AG58),"")</f>
        <v/>
      </c>
      <c r="AH60" s="83" t="str">
        <f>IF(ISNUMBER(AH57),SQRT(AH59/AH58),"")</f>
        <v/>
      </c>
      <c r="AI60" s="134"/>
      <c r="AJ60" s="143"/>
      <c r="AK60" s="34"/>
      <c r="AL60" s="34"/>
      <c r="AM60" s="34"/>
      <c r="AN60" s="34"/>
      <c r="AO60" s="34"/>
      <c r="AP60" s="34"/>
      <c r="AQ60" s="34"/>
      <c r="AR60" s="34"/>
    </row>
    <row r="61" spans="1:44" ht="14" x14ac:dyDescent="0.15">
      <c r="A61" s="7"/>
      <c r="B61" s="7"/>
      <c r="C61" s="7"/>
      <c r="D61" s="7"/>
      <c r="E61" s="7"/>
      <c r="F61" s="7"/>
      <c r="G61" s="7"/>
      <c r="H61" s="136">
        <f>L61/$J$46*100</f>
        <v>6.5142940816516264</v>
      </c>
      <c r="I61" s="7"/>
      <c r="J61" s="144"/>
      <c r="K61" s="13" t="s">
        <v>92</v>
      </c>
      <c r="L61" s="118">
        <f>IF(L71,SQRT(L71*L60^2/CHIINV((1-$D$27/100)/2,L71)),"")</f>
        <v>2.0367958304734071</v>
      </c>
      <c r="M61" s="119" t="str">
        <f>IF(M71,SQRT(M71*M60^2/CHIINV((1-$D$27/100)/2,M71)),"")</f>
        <v/>
      </c>
      <c r="N61" s="119" t="str">
        <f>IF(N71,SQRT(N71*N60^2/CHIINV((1-$D$27/100)/2,N71)),"")</f>
        <v/>
      </c>
      <c r="O61" s="119" t="str">
        <f>IF(O71,SQRT(O71*O60^2/CHIINV((1-$D$27/100)/2,O71)),"")</f>
        <v/>
      </c>
      <c r="P61" s="119" t="str">
        <f>IF(P71,SQRT(P71*P60^2/CHIINV((1-$D$27/100)/2,P71)),"")</f>
        <v/>
      </c>
      <c r="Q61" s="86">
        <f>SQRT(Q71*Q60^2/CHIINV((1-$D$27/100)/2,Q71))</f>
        <v>2.0367958304734071</v>
      </c>
      <c r="R61" s="145"/>
      <c r="S61" s="146"/>
      <c r="T61" s="146"/>
      <c r="U61" s="146"/>
      <c r="V61" s="146"/>
      <c r="W61" s="146"/>
      <c r="X61" s="146"/>
      <c r="Y61" s="146"/>
      <c r="Z61" s="146"/>
      <c r="AA61" s="9"/>
      <c r="AB61" s="123"/>
      <c r="AC61" s="124" t="s">
        <v>99</v>
      </c>
      <c r="AD61" s="125" t="str">
        <f t="shared" ref="AD61:AH63" si="15">IF(ISNUMBER(AD113),EXP(AD113/100),"")</f>
        <v/>
      </c>
      <c r="AE61" s="125" t="str">
        <f t="shared" si="15"/>
        <v/>
      </c>
      <c r="AF61" s="125" t="str">
        <f t="shared" si="15"/>
        <v/>
      </c>
      <c r="AG61" s="125" t="str">
        <f t="shared" si="15"/>
        <v/>
      </c>
      <c r="AH61" s="125" t="str">
        <f t="shared" si="15"/>
        <v/>
      </c>
      <c r="AI61" s="140" t="str">
        <f>IF(ISNUMBER(AI72),EXP(AI113/100),"")</f>
        <v/>
      </c>
      <c r="AJ61" s="147"/>
      <c r="AK61" s="34"/>
      <c r="AL61" s="34"/>
      <c r="AM61" s="34"/>
      <c r="AN61" s="34"/>
      <c r="AO61" s="34"/>
      <c r="AP61" s="34"/>
      <c r="AQ61" s="34"/>
      <c r="AR61" s="34"/>
    </row>
    <row r="62" spans="1:44" s="3" customFormat="1" ht="14" x14ac:dyDescent="0.15">
      <c r="A62" s="105"/>
      <c r="B62" s="105"/>
      <c r="C62" s="105"/>
      <c r="D62" s="105"/>
      <c r="E62" s="105"/>
      <c r="F62" s="105"/>
      <c r="G62" s="105"/>
      <c r="H62" s="136">
        <f>L62/$J$46*100</f>
        <v>13.648368041147977</v>
      </c>
      <c r="I62" s="105"/>
      <c r="J62" s="144"/>
      <c r="K62" s="13" t="s">
        <v>95</v>
      </c>
      <c r="L62" s="118">
        <f>IF(L71,SQRT(L71*L60^2/CHIINV(1-(1-$D$27/100)/2,L71)),"")</f>
        <v>4.2673755238155575</v>
      </c>
      <c r="M62" s="128" t="str">
        <f>IF(M71,SQRT(M71*M60^2/CHIINV(1-(1-$D$27/100)/2,M71)),"")</f>
        <v/>
      </c>
      <c r="N62" s="128" t="str">
        <f>IF(N71,SQRT(N71*N60^2/CHIINV(1-(1-$D$27/100)/2,N71)),"")</f>
        <v/>
      </c>
      <c r="O62" s="128" t="str">
        <f>IF(O71,SQRT(O71*O60^2/CHIINV(1-(1-$D$27/100)/2,O71)),"")</f>
        <v/>
      </c>
      <c r="P62" s="128" t="str">
        <f>IF(P71,SQRT(P71*P60^2/CHIINV(1-(1-$D$27/100)/2,P71)),"")</f>
        <v/>
      </c>
      <c r="Q62" s="86">
        <f>SQRT(Q71*Q60^2/CHIINV(1-(1-$D$27/100)/2,Q71))</f>
        <v>4.2673755238155575</v>
      </c>
      <c r="R62" s="148"/>
      <c r="S62" s="149"/>
      <c r="T62" s="149"/>
      <c r="U62" s="149"/>
      <c r="V62" s="149"/>
      <c r="W62" s="149"/>
      <c r="X62" s="149"/>
      <c r="Y62" s="149"/>
      <c r="Z62" s="149"/>
      <c r="AA62" s="9"/>
      <c r="AB62" s="129"/>
      <c r="AC62" s="18" t="s">
        <v>92</v>
      </c>
      <c r="AD62" s="119" t="str">
        <f t="shared" si="15"/>
        <v/>
      </c>
      <c r="AE62" s="119" t="str">
        <f t="shared" si="15"/>
        <v/>
      </c>
      <c r="AF62" s="119" t="str">
        <f t="shared" si="15"/>
        <v/>
      </c>
      <c r="AG62" s="119" t="str">
        <f t="shared" si="15"/>
        <v/>
      </c>
      <c r="AH62" s="119" t="str">
        <f t="shared" si="15"/>
        <v/>
      </c>
      <c r="AI62" s="150" t="str">
        <f>IF(ISNUMBER(AI72),EXP(AI114/100),"")</f>
        <v/>
      </c>
      <c r="AJ62" s="151"/>
      <c r="AK62" s="34"/>
      <c r="AL62" s="34"/>
      <c r="AM62" s="34"/>
      <c r="AN62" s="34"/>
      <c r="AO62" s="34"/>
      <c r="AP62" s="34"/>
      <c r="AQ62" s="34"/>
      <c r="AR62" s="34"/>
    </row>
    <row r="63" spans="1:44" ht="14" x14ac:dyDescent="0.15">
      <c r="A63" s="7"/>
      <c r="B63" s="7"/>
      <c r="C63" s="7"/>
      <c r="D63" s="7"/>
      <c r="E63" s="7"/>
      <c r="F63" s="7"/>
      <c r="G63" s="7"/>
      <c r="H63" s="7"/>
      <c r="I63" s="105"/>
      <c r="J63" s="144"/>
      <c r="K63" s="152" t="s">
        <v>100</v>
      </c>
      <c r="L63" s="83">
        <f t="shared" ref="L63:Q63" si="16">IF(ISNUMBER(L61),SQRT(L62/L61),"")</f>
        <v>1.4474603710322742</v>
      </c>
      <c r="M63" s="83" t="str">
        <f t="shared" si="16"/>
        <v/>
      </c>
      <c r="N63" s="83" t="str">
        <f t="shared" si="16"/>
        <v/>
      </c>
      <c r="O63" s="83" t="str">
        <f t="shared" si="16"/>
        <v/>
      </c>
      <c r="P63" s="83" t="str">
        <f t="shared" si="16"/>
        <v/>
      </c>
      <c r="Q63" s="86">
        <f t="shared" si="16"/>
        <v>1.4474603710322742</v>
      </c>
      <c r="R63" s="153"/>
      <c r="S63" s="154"/>
      <c r="T63" s="154"/>
      <c r="U63" s="154"/>
      <c r="V63" s="154"/>
      <c r="W63" s="154"/>
      <c r="X63" s="154"/>
      <c r="Y63" s="154"/>
      <c r="Z63" s="154"/>
      <c r="AA63" s="122"/>
      <c r="AB63" s="129"/>
      <c r="AC63" s="18" t="s">
        <v>95</v>
      </c>
      <c r="AD63" s="133" t="str">
        <f t="shared" si="15"/>
        <v/>
      </c>
      <c r="AE63" s="133" t="str">
        <f t="shared" si="15"/>
        <v/>
      </c>
      <c r="AF63" s="133" t="str">
        <f t="shared" si="15"/>
        <v/>
      </c>
      <c r="AG63" s="133" t="str">
        <f t="shared" si="15"/>
        <v/>
      </c>
      <c r="AH63" s="133" t="str">
        <f t="shared" si="15"/>
        <v/>
      </c>
      <c r="AI63" s="155" t="str">
        <f>IF(ISNUMBER(AI72),EXP(AI115/100),"")</f>
        <v/>
      </c>
      <c r="AJ63" s="154"/>
      <c r="AK63" s="34"/>
      <c r="AL63" s="34"/>
      <c r="AM63" s="34"/>
      <c r="AN63" s="34"/>
      <c r="AO63" s="34"/>
      <c r="AP63" s="34"/>
      <c r="AQ63" s="34"/>
      <c r="AR63" s="34"/>
    </row>
    <row r="64" spans="1:44" ht="14" x14ac:dyDescent="0.15">
      <c r="A64" s="7"/>
      <c r="B64" s="7"/>
      <c r="C64" s="7"/>
      <c r="D64" s="7"/>
      <c r="E64" s="7"/>
      <c r="F64" s="7"/>
      <c r="G64" s="7"/>
      <c r="H64" s="106" t="s">
        <v>101</v>
      </c>
      <c r="I64" s="7"/>
      <c r="J64" s="144"/>
      <c r="K64" s="13" t="s">
        <v>102</v>
      </c>
      <c r="L64" s="83">
        <f t="shared" ref="L64:Q64" si="17">IF(L71,1+1/(4*L71),"")</f>
        <v>1.0166666666666666</v>
      </c>
      <c r="M64" s="83" t="str">
        <f t="shared" si="17"/>
        <v/>
      </c>
      <c r="N64" s="83" t="str">
        <f t="shared" si="17"/>
        <v/>
      </c>
      <c r="O64" s="83" t="str">
        <f t="shared" si="17"/>
        <v/>
      </c>
      <c r="P64" s="83" t="str">
        <f t="shared" si="17"/>
        <v/>
      </c>
      <c r="Q64" s="86">
        <f t="shared" si="17"/>
        <v>1.0166666666666666</v>
      </c>
      <c r="R64" s="153"/>
      <c r="S64" s="156"/>
      <c r="T64" s="156"/>
      <c r="U64" s="156"/>
      <c r="V64" s="156"/>
      <c r="W64" s="156"/>
      <c r="X64" s="156"/>
      <c r="Y64" s="156"/>
      <c r="Z64" s="156"/>
      <c r="AA64" s="9"/>
      <c r="AB64" s="129"/>
      <c r="AC64" s="157" t="s">
        <v>100</v>
      </c>
      <c r="AD64" s="83" t="str">
        <f t="shared" ref="AD64:AI64" si="18">IF(ISNUMBER(AD62),SQRT(AD63/AD62),"")</f>
        <v/>
      </c>
      <c r="AE64" s="83" t="str">
        <f t="shared" si="18"/>
        <v/>
      </c>
      <c r="AF64" s="83" t="str">
        <f t="shared" si="18"/>
        <v/>
      </c>
      <c r="AG64" s="83" t="str">
        <f t="shared" si="18"/>
        <v/>
      </c>
      <c r="AH64" s="83" t="str">
        <f t="shared" si="18"/>
        <v/>
      </c>
      <c r="AI64" s="86" t="str">
        <f t="shared" si="18"/>
        <v/>
      </c>
      <c r="AJ64" s="158"/>
      <c r="AK64" s="34"/>
      <c r="AL64" s="34"/>
      <c r="AM64" s="34"/>
      <c r="AN64" s="34"/>
      <c r="AO64" s="34"/>
      <c r="AP64" s="34"/>
      <c r="AQ64" s="34"/>
      <c r="AR64" s="34"/>
    </row>
    <row r="65" spans="1:44" ht="14" x14ac:dyDescent="0.15">
      <c r="A65" s="7"/>
      <c r="B65" s="7"/>
      <c r="C65" s="7"/>
      <c r="D65" s="7"/>
      <c r="E65" s="7"/>
      <c r="F65" s="7"/>
      <c r="G65" s="7"/>
      <c r="H65" s="159">
        <f>(E46-D46)/J47</f>
        <v>-1.8493577723176298E-3</v>
      </c>
      <c r="I65" s="7"/>
      <c r="J65" s="144"/>
      <c r="K65" s="138" t="s">
        <v>103</v>
      </c>
      <c r="L65" s="83">
        <f t="shared" ref="L65:Q65" si="19">IF(L$71*(L87&gt;0),$D$26*SQRT(L98),"")</f>
        <v>1.8809707218275755</v>
      </c>
      <c r="M65" s="83" t="str">
        <f t="shared" si="19"/>
        <v/>
      </c>
      <c r="N65" s="83" t="str">
        <f t="shared" si="19"/>
        <v/>
      </c>
      <c r="O65" s="83" t="str">
        <f t="shared" si="19"/>
        <v/>
      </c>
      <c r="P65" s="83" t="str">
        <f t="shared" si="19"/>
        <v/>
      </c>
      <c r="Q65" s="86" t="e">
        <f t="shared" si="19"/>
        <v>#REF!</v>
      </c>
      <c r="R65" s="153"/>
      <c r="S65" s="156"/>
      <c r="T65" s="156"/>
      <c r="U65" s="156"/>
      <c r="V65" s="156"/>
      <c r="W65" s="156"/>
      <c r="X65" s="156"/>
      <c r="Y65" s="156"/>
      <c r="Z65" s="156"/>
      <c r="AA65" s="9"/>
      <c r="AB65" s="129"/>
      <c r="AC65" s="18" t="s">
        <v>102</v>
      </c>
      <c r="AD65" s="83" t="str">
        <f t="shared" ref="AD65:AI65" si="20">IF(ISNUMBER(AD61),AD61^AD116/AD61,"")</f>
        <v/>
      </c>
      <c r="AE65" s="83" t="str">
        <f t="shared" si="20"/>
        <v/>
      </c>
      <c r="AF65" s="83" t="str">
        <f t="shared" si="20"/>
        <v/>
      </c>
      <c r="AG65" s="83" t="str">
        <f t="shared" si="20"/>
        <v/>
      </c>
      <c r="AH65" s="83" t="str">
        <f t="shared" si="20"/>
        <v/>
      </c>
      <c r="AI65" s="86" t="str">
        <f t="shared" si="20"/>
        <v/>
      </c>
      <c r="AJ65" s="158"/>
      <c r="AK65" s="34"/>
      <c r="AL65" s="34"/>
      <c r="AM65" s="34"/>
      <c r="AN65" s="34"/>
      <c r="AO65" s="34"/>
      <c r="AP65" s="34"/>
      <c r="AQ65" s="34"/>
      <c r="AR65" s="34"/>
    </row>
    <row r="66" spans="1:44" ht="14" x14ac:dyDescent="0.15">
      <c r="A66" s="7"/>
      <c r="B66" s="7"/>
      <c r="C66" s="7"/>
      <c r="D66" s="7"/>
      <c r="E66" s="7"/>
      <c r="F66" s="7"/>
      <c r="G66" s="7"/>
      <c r="H66" s="7"/>
      <c r="I66" s="7"/>
      <c r="J66" s="144"/>
      <c r="K66" s="13" t="s">
        <v>92</v>
      </c>
      <c r="L66" s="83">
        <f>IF(L$71*(L87&gt;0),0.2*(IF(L100&gt;0,SQRT(L100),-SQRT(-L100))),"")</f>
        <v>0.89271341498374646</v>
      </c>
      <c r="M66" s="119" t="str">
        <f>IF(M$71*(M87&gt;0),0.2*(IF(M100&gt;0,SQRT(M100),-SQRT(-M100))),"")</f>
        <v/>
      </c>
      <c r="N66" s="119" t="str">
        <f>IF(N$71*(N87&gt;0),0.2*(IF(N100&gt;0,SQRT(N100),-SQRT(-N100))),"")</f>
        <v/>
      </c>
      <c r="O66" s="119" t="str">
        <f>IF(O$71*(O87&gt;0),0.2*(IF(O100&gt;0,SQRT(O100),-SQRT(-O100))),"")</f>
        <v/>
      </c>
      <c r="P66" s="119" t="str">
        <f>IF(P$71*(P87&gt;0),0.2*(IF(P100&gt;0,SQRT(P100),-SQRT(-P100))),"")</f>
        <v/>
      </c>
      <c r="Q66" s="86" t="e">
        <f>IF(Q$71*(Q87&gt;0),0.2*IF(Q100&gt;0,SQRT(Q100),-SQRT(-Q100)),"")</f>
        <v>#REF!</v>
      </c>
      <c r="R66" s="153"/>
      <c r="S66" s="156"/>
      <c r="T66" s="156"/>
      <c r="U66" s="156"/>
      <c r="V66" s="156"/>
      <c r="W66" s="156"/>
      <c r="X66" s="156"/>
      <c r="Y66" s="156"/>
      <c r="Z66" s="156"/>
      <c r="AA66" s="9"/>
      <c r="AB66" s="129"/>
      <c r="AC66" s="124" t="s">
        <v>103</v>
      </c>
      <c r="AD66" s="125" t="str">
        <f t="shared" ref="AD66:AI71" si="21">IF(ISNUMBER(AD117),EXP(AD117/100),"")</f>
        <v/>
      </c>
      <c r="AE66" s="125" t="str">
        <f t="shared" si="21"/>
        <v/>
      </c>
      <c r="AF66" s="125" t="str">
        <f t="shared" si="21"/>
        <v/>
      </c>
      <c r="AG66" s="125" t="str">
        <f t="shared" si="21"/>
        <v/>
      </c>
      <c r="AH66" s="125" t="str">
        <f t="shared" si="21"/>
        <v/>
      </c>
      <c r="AI66" s="140" t="str">
        <f t="shared" si="21"/>
        <v/>
      </c>
      <c r="AJ66" s="158"/>
      <c r="AK66" s="34"/>
      <c r="AL66" s="34"/>
      <c r="AM66" s="34"/>
      <c r="AN66" s="34"/>
      <c r="AO66" s="34"/>
      <c r="AP66" s="34"/>
      <c r="AQ66" s="34"/>
      <c r="AR66" s="34"/>
    </row>
    <row r="67" spans="1:44" ht="14" x14ac:dyDescent="0.15">
      <c r="A67" s="7"/>
      <c r="B67" s="7"/>
      <c r="C67" s="7"/>
      <c r="D67" s="7"/>
      <c r="E67" s="7"/>
      <c r="F67" s="7"/>
      <c r="G67" s="7"/>
      <c r="H67" s="106" t="s">
        <v>104</v>
      </c>
      <c r="I67" s="7"/>
      <c r="J67" s="144"/>
      <c r="K67" s="13" t="s">
        <v>95</v>
      </c>
      <c r="L67" s="83">
        <f t="shared" ref="L67:Q67" si="22">IF(L$71*(L87&gt;0),0.2*SQRT(L101),"")</f>
        <v>2.5058261055893638</v>
      </c>
      <c r="M67" s="133" t="str">
        <f t="shared" si="22"/>
        <v/>
      </c>
      <c r="N67" s="133" t="str">
        <f t="shared" si="22"/>
        <v/>
      </c>
      <c r="O67" s="133" t="str">
        <f t="shared" si="22"/>
        <v/>
      </c>
      <c r="P67" s="133" t="str">
        <f t="shared" si="22"/>
        <v/>
      </c>
      <c r="Q67" s="86" t="e">
        <f t="shared" si="22"/>
        <v>#REF!</v>
      </c>
      <c r="R67" s="132"/>
      <c r="S67" s="156"/>
      <c r="T67" s="156"/>
      <c r="U67" s="156"/>
      <c r="V67" s="156"/>
      <c r="W67" s="156"/>
      <c r="X67" s="156"/>
      <c r="Y67" s="156"/>
      <c r="Z67" s="156"/>
      <c r="AA67" s="9"/>
      <c r="AB67" s="129"/>
      <c r="AC67" s="18" t="s">
        <v>92</v>
      </c>
      <c r="AD67" s="119" t="str">
        <f t="shared" si="21"/>
        <v/>
      </c>
      <c r="AE67" s="119" t="str">
        <f t="shared" si="21"/>
        <v/>
      </c>
      <c r="AF67" s="119" t="str">
        <f t="shared" si="21"/>
        <v/>
      </c>
      <c r="AG67" s="119" t="str">
        <f t="shared" si="21"/>
        <v/>
      </c>
      <c r="AH67" s="119" t="str">
        <f t="shared" si="21"/>
        <v/>
      </c>
      <c r="AI67" s="150" t="str">
        <f t="shared" si="21"/>
        <v/>
      </c>
      <c r="AJ67" s="158"/>
      <c r="AK67" s="34"/>
      <c r="AL67" s="34"/>
      <c r="AM67" s="34"/>
      <c r="AN67" s="34"/>
      <c r="AO67" s="34"/>
      <c r="AP67" s="34"/>
      <c r="AQ67" s="34"/>
      <c r="AR67" s="34"/>
    </row>
    <row r="68" spans="1:44" ht="14" x14ac:dyDescent="0.15">
      <c r="A68" s="7"/>
      <c r="B68" s="7"/>
      <c r="C68" s="7"/>
      <c r="D68" s="7"/>
      <c r="E68" s="7"/>
      <c r="F68" s="7"/>
      <c r="G68" s="7"/>
      <c r="H68" s="159">
        <f>(J47/J46)*100</f>
        <v>31.345625574068819</v>
      </c>
      <c r="I68" s="7"/>
      <c r="J68" s="144"/>
      <c r="K68" s="138" t="s">
        <v>105</v>
      </c>
      <c r="L68" s="83">
        <f>IF(L$71,$D$26*SQRT(SUMPRODUCT(D$47:E$47,D$47:E$47,D$50:E$50)/SUM(D$50:E$50)),"")</f>
        <v>1.9601399222264424</v>
      </c>
      <c r="M68" s="83" t="str">
        <f>IF(M$71,$D$26*SQRT(SUMPRODUCT(E$47:F$47,E$47:F$47,E$50:F$50)/SUM(E$50:F$50)),"")</f>
        <v/>
      </c>
      <c r="N68" s="83" t="str">
        <f>IF(N$71,$D$26*SQRT(SUMPRODUCT(F$47:G$47,F$47:G$47,F$50:G$50)/SUM(F$50:G$50)),"")</f>
        <v/>
      </c>
      <c r="O68" s="83" t="str">
        <f>IF(O$71,$D$26*SQRT(SUMPRODUCT(G$47:H$47,G$47:H$47,G$50:H$50)/SUM(G$50:H$50)),"")</f>
        <v/>
      </c>
      <c r="P68" s="83" t="str">
        <f>IF(P$71,$D$26*SQRT(SUMPRODUCT(H$47:I$47,H$47:I$47,H$50:I$50)/SUM(H$50:I$50)),"")</f>
        <v/>
      </c>
      <c r="Q68" s="86">
        <f>$D$26*J47</f>
        <v>1.9601399222264424</v>
      </c>
      <c r="R68" s="141"/>
      <c r="S68" s="142"/>
      <c r="T68" s="142"/>
      <c r="U68" s="142"/>
      <c r="V68" s="142"/>
      <c r="W68" s="142"/>
      <c r="X68" s="142"/>
      <c r="Y68" s="142"/>
      <c r="Z68" s="142"/>
      <c r="AA68" s="9"/>
      <c r="AB68" s="129"/>
      <c r="AC68" s="18" t="s">
        <v>95</v>
      </c>
      <c r="AD68" s="133" t="str">
        <f t="shared" si="21"/>
        <v/>
      </c>
      <c r="AE68" s="133" t="str">
        <f t="shared" si="21"/>
        <v/>
      </c>
      <c r="AF68" s="133" t="str">
        <f t="shared" si="21"/>
        <v/>
      </c>
      <c r="AG68" s="133" t="str">
        <f t="shared" si="21"/>
        <v/>
      </c>
      <c r="AH68" s="133" t="str">
        <f t="shared" si="21"/>
        <v/>
      </c>
      <c r="AI68" s="155" t="str">
        <f t="shared" si="21"/>
        <v/>
      </c>
      <c r="AJ68" s="158"/>
      <c r="AK68" s="34"/>
      <c r="AL68" s="34"/>
      <c r="AM68" s="34"/>
      <c r="AN68" s="34"/>
      <c r="AO68" s="34"/>
      <c r="AP68" s="34"/>
      <c r="AQ68" s="34"/>
      <c r="AR68" s="34"/>
    </row>
    <row r="69" spans="1:44" x14ac:dyDescent="0.15">
      <c r="A69" s="7"/>
      <c r="B69" s="7"/>
      <c r="C69" s="7"/>
      <c r="D69" s="7"/>
      <c r="E69" s="7"/>
      <c r="F69" s="7"/>
      <c r="G69" s="7"/>
      <c r="H69" s="7"/>
      <c r="I69" s="7"/>
      <c r="J69" s="144"/>
      <c r="K69" s="13" t="s">
        <v>92</v>
      </c>
      <c r="L69" s="83">
        <f t="shared" ref="L69:Q69" si="23">IF(L71,SQRT(L92*L68^2/CHIINV((1-$D$27/100)/2,L92)),"")</f>
        <v>1.4479648824194407</v>
      </c>
      <c r="M69" s="119" t="str">
        <f t="shared" si="23"/>
        <v/>
      </c>
      <c r="N69" s="119" t="str">
        <f t="shared" si="23"/>
        <v/>
      </c>
      <c r="O69" s="119" t="str">
        <f t="shared" si="23"/>
        <v/>
      </c>
      <c r="P69" s="119" t="str">
        <f t="shared" si="23"/>
        <v/>
      </c>
      <c r="Q69" s="86" t="e">
        <f t="shared" si="23"/>
        <v>#REF!</v>
      </c>
      <c r="R69" s="160"/>
      <c r="S69" s="146"/>
      <c r="T69" s="146"/>
      <c r="U69" s="146"/>
      <c r="V69" s="146"/>
      <c r="W69" s="146"/>
      <c r="X69" s="146"/>
      <c r="Y69" s="146"/>
      <c r="Z69" s="146"/>
      <c r="AA69" s="9"/>
      <c r="AB69" s="129"/>
      <c r="AC69" s="124" t="s">
        <v>105</v>
      </c>
      <c r="AD69" s="125" t="str">
        <f t="shared" si="21"/>
        <v/>
      </c>
      <c r="AE69" s="125" t="str">
        <f t="shared" si="21"/>
        <v/>
      </c>
      <c r="AF69" s="125" t="str">
        <f t="shared" si="21"/>
        <v/>
      </c>
      <c r="AG69" s="125" t="str">
        <f t="shared" si="21"/>
        <v/>
      </c>
      <c r="AH69" s="125" t="str">
        <f t="shared" si="21"/>
        <v/>
      </c>
      <c r="AI69" s="140" t="str">
        <f t="shared" si="21"/>
        <v/>
      </c>
      <c r="AJ69" s="158"/>
    </row>
    <row r="70" spans="1:44" x14ac:dyDescent="0.15">
      <c r="A70" s="7"/>
      <c r="B70" s="7"/>
      <c r="C70" s="7"/>
      <c r="D70" s="7"/>
      <c r="E70" s="7"/>
      <c r="F70" s="7"/>
      <c r="G70" s="7"/>
      <c r="H70" s="7"/>
      <c r="I70" s="7"/>
      <c r="J70" s="144"/>
      <c r="K70" s="13" t="s">
        <v>95</v>
      </c>
      <c r="L70" s="83">
        <f t="shared" ref="L70:Q70" si="24">IF(L71,SQRT(L92*L68^2/CHIINV(1-(1-$D$27/100)/2,L92)),"")</f>
        <v>3.0336913529251586</v>
      </c>
      <c r="M70" s="128" t="str">
        <f t="shared" si="24"/>
        <v/>
      </c>
      <c r="N70" s="128" t="str">
        <f t="shared" si="24"/>
        <v/>
      </c>
      <c r="O70" s="128" t="str">
        <f t="shared" si="24"/>
        <v/>
      </c>
      <c r="P70" s="128" t="str">
        <f t="shared" si="24"/>
        <v/>
      </c>
      <c r="Q70" s="86" t="e">
        <f t="shared" si="24"/>
        <v>#REF!</v>
      </c>
      <c r="R70" s="7"/>
      <c r="S70" s="161"/>
      <c r="T70" s="161"/>
      <c r="U70" s="161"/>
      <c r="V70" s="161"/>
      <c r="W70" s="161"/>
      <c r="X70" s="161"/>
      <c r="Y70" s="161"/>
      <c r="Z70" s="161"/>
      <c r="AA70" s="9"/>
      <c r="AB70" s="129"/>
      <c r="AC70" s="18" t="s">
        <v>92</v>
      </c>
      <c r="AD70" s="119" t="str">
        <f t="shared" si="21"/>
        <v/>
      </c>
      <c r="AE70" s="119" t="str">
        <f t="shared" si="21"/>
        <v/>
      </c>
      <c r="AF70" s="119" t="str">
        <f t="shared" si="21"/>
        <v/>
      </c>
      <c r="AG70" s="119" t="str">
        <f t="shared" si="21"/>
        <v/>
      </c>
      <c r="AH70" s="119" t="str">
        <f t="shared" si="21"/>
        <v/>
      </c>
      <c r="AI70" s="150" t="str">
        <f t="shared" si="21"/>
        <v/>
      </c>
      <c r="AJ70" s="9"/>
    </row>
    <row r="71" spans="1:44" s="3" customFormat="1" x14ac:dyDescent="0.15">
      <c r="A71" s="105"/>
      <c r="B71" s="105"/>
      <c r="C71" s="105"/>
      <c r="D71" s="105"/>
      <c r="E71" s="105"/>
      <c r="F71" s="105"/>
      <c r="G71" s="105"/>
      <c r="H71" s="105"/>
      <c r="I71" s="105"/>
      <c r="J71" s="137"/>
      <c r="K71" s="162" t="s">
        <v>106</v>
      </c>
      <c r="L71" s="80">
        <f>IF(AND(D48&gt;0,E48&gt;0),L48-1,0)</f>
        <v>15</v>
      </c>
      <c r="M71" s="80">
        <f>IF(AND(E48&gt;0,F48&gt;0),M48-1,0)</f>
        <v>0</v>
      </c>
      <c r="N71" s="80">
        <f>IF(AND(F48&gt;0,G48&gt;0),N48-1,0)</f>
        <v>0</v>
      </c>
      <c r="O71" s="80">
        <f>IF(AND(G48&gt;0,H48&gt;0),O48-1,0)</f>
        <v>0</v>
      </c>
      <c r="P71" s="80">
        <f>IF(AND(H48&gt;0,I48&gt;0),P48-1,0)</f>
        <v>0</v>
      </c>
      <c r="Q71" s="163">
        <f>IF(COUNTIF(L71:P71,"&gt;0")=1,SUM(L71:P71),(1-0.22*SUM(D48:I48)/(COUNTIF(D48:I48,"&gt;0")*R46))*SUM(L71:P71))</f>
        <v>15</v>
      </c>
      <c r="R71" s="164"/>
      <c r="S71" s="9"/>
      <c r="T71" s="9"/>
      <c r="U71" s="9"/>
      <c r="V71" s="9"/>
      <c r="W71" s="9"/>
      <c r="X71" s="9"/>
      <c r="Y71" s="9"/>
      <c r="Z71" s="9"/>
      <c r="AA71" s="9"/>
      <c r="AB71" s="129"/>
      <c r="AC71" s="18" t="s">
        <v>95</v>
      </c>
      <c r="AD71" s="133" t="str">
        <f t="shared" si="21"/>
        <v/>
      </c>
      <c r="AE71" s="133" t="str">
        <f t="shared" si="21"/>
        <v/>
      </c>
      <c r="AF71" s="133" t="str">
        <f t="shared" si="21"/>
        <v/>
      </c>
      <c r="AG71" s="133" t="str">
        <f t="shared" si="21"/>
        <v/>
      </c>
      <c r="AH71" s="133" t="str">
        <f t="shared" si="21"/>
        <v/>
      </c>
      <c r="AI71" s="155" t="str">
        <f t="shared" si="21"/>
        <v/>
      </c>
      <c r="AJ71" s="9"/>
    </row>
    <row r="72" spans="1:44" x14ac:dyDescent="0.15">
      <c r="A72" s="7"/>
      <c r="B72" s="7"/>
      <c r="C72" s="7"/>
      <c r="D72" s="7"/>
      <c r="E72" s="7"/>
      <c r="F72" s="7"/>
      <c r="G72" s="7"/>
      <c r="H72" s="7"/>
      <c r="I72" s="7"/>
      <c r="J72" s="256" t="s">
        <v>107</v>
      </c>
      <c r="K72" s="257"/>
      <c r="L72" s="165"/>
      <c r="M72" s="165"/>
      <c r="N72" s="165"/>
      <c r="O72" s="165"/>
      <c r="P72" s="165"/>
      <c r="Q72" s="166"/>
      <c r="R72" s="167"/>
      <c r="S72" s="168"/>
      <c r="T72" s="168"/>
      <c r="U72" s="168"/>
      <c r="V72" s="168"/>
      <c r="W72" s="168"/>
      <c r="X72" s="168"/>
      <c r="Y72" s="168"/>
      <c r="Z72" s="168"/>
      <c r="AA72" s="122"/>
      <c r="AB72" s="169"/>
      <c r="AC72" s="170" t="s">
        <v>106</v>
      </c>
      <c r="AD72" s="71">
        <f>AD123</f>
        <v>0</v>
      </c>
      <c r="AE72" s="71">
        <f>AE123</f>
        <v>0</v>
      </c>
      <c r="AF72" s="71">
        <f>AF123</f>
        <v>0</v>
      </c>
      <c r="AG72" s="71">
        <f>AG123</f>
        <v>0</v>
      </c>
      <c r="AH72" s="71">
        <f>AH123</f>
        <v>0</v>
      </c>
      <c r="AI72" s="171" t="str">
        <f>IF(ISERROR(AI123),"",AI123)</f>
        <v/>
      </c>
      <c r="AJ72" s="172"/>
    </row>
    <row r="73" spans="1:44" x14ac:dyDescent="0.15">
      <c r="A73" s="7"/>
      <c r="B73" s="7"/>
      <c r="C73" s="7"/>
      <c r="D73" s="7"/>
      <c r="E73" s="7"/>
      <c r="F73" s="7"/>
      <c r="G73" s="7"/>
      <c r="H73" s="7"/>
      <c r="I73" s="7"/>
      <c r="J73" s="117"/>
      <c r="K73" s="138" t="s">
        <v>89</v>
      </c>
      <c r="L73" s="125">
        <f>IF(L$71*(L87&gt;0),L56/SQRT((SUMPRODUCT(D$47:E$47,D$47:E$47,D$50:E$50)/SUM(D$50:E$50))-L60^2),"")</f>
        <v>-1.9271963980799962E-3</v>
      </c>
      <c r="M73" s="125" t="str">
        <f>IF(M$71*(M87&gt;0),M56/SQRT((SUMPRODUCT(E$47:F$47,E$47:F$47,E$50:F$50)/SUM(E$50:F$50))-M60^2),"")</f>
        <v/>
      </c>
      <c r="N73" s="125" t="str">
        <f>IF(N$71*(N87&gt;0),N56/SQRT((SUMPRODUCT(F$47:G$47,F$47:G$47,F$50:G$50)/SUM(F$50:G$50))-N60^2),"")</f>
        <v/>
      </c>
      <c r="O73" s="125" t="str">
        <f>IF(O$71*(O87&gt;0),O56/SQRT((SUMPRODUCT(G$47:H$47,G$47:H$47,G$50:H$50)/SUM(G$50:H$50))-O60^2),"")</f>
        <v/>
      </c>
      <c r="P73" s="125" t="str">
        <f>IF(P$71*(P87&gt;0),P56/SQRT((SUMPRODUCT(H$47:I$47,H$47:I$47,H$50:I$50)/SUM(H$50:I$50))-P60^2),"")</f>
        <v/>
      </c>
      <c r="Q73" s="173"/>
      <c r="R73" s="112"/>
      <c r="S73" s="174"/>
      <c r="T73" s="174"/>
      <c r="U73" s="174"/>
      <c r="V73" s="174"/>
      <c r="W73" s="174"/>
      <c r="X73" s="174"/>
      <c r="Y73" s="174"/>
      <c r="Z73" s="174"/>
      <c r="AA73" s="9"/>
      <c r="AB73" s="175" t="s">
        <v>108</v>
      </c>
      <c r="AC73" s="176"/>
      <c r="AD73" s="177"/>
      <c r="AE73" s="177"/>
      <c r="AF73" s="177"/>
      <c r="AG73" s="177"/>
      <c r="AH73" s="177"/>
      <c r="AI73" s="178"/>
      <c r="AJ73" s="179"/>
    </row>
    <row r="74" spans="1:44" x14ac:dyDescent="0.15">
      <c r="A74" s="7"/>
      <c r="B74" s="7"/>
      <c r="C74" s="7"/>
      <c r="D74" s="7"/>
      <c r="E74" s="7"/>
      <c r="F74" s="7"/>
      <c r="G74" s="7"/>
      <c r="H74" s="7"/>
      <c r="I74" s="7"/>
      <c r="J74" s="117"/>
      <c r="K74" s="13" t="s">
        <v>92</v>
      </c>
      <c r="L74" s="119">
        <f>IF(L$71*(L87&gt;0),L57/SQRT((SUMPRODUCT(D$47:E$47,D$47:E$47,D$50:E$50)/SUM(D$50:E$50))-L60^2),"")</f>
        <v>-0.22285713181073344</v>
      </c>
      <c r="M74" s="119" t="str">
        <f>IF(M$71*(M87&gt;0),M57/SQRT((SUMPRODUCT(E$47:F$47,E$47:F$47,E$50:F$50)/SUM(E$50:F$50))-M60^2),"")</f>
        <v/>
      </c>
      <c r="N74" s="119" t="str">
        <f>IF(N$71*(N87&gt;0),N57/SQRT((SUMPRODUCT(F$47:G$47,F$47:G$47,F$50:G$50)/SUM(F$50:G$50))-N60^2),"")</f>
        <v/>
      </c>
      <c r="O74" s="119" t="str">
        <f>IF(O$71*(O87&gt;0),O57/SQRT((SUMPRODUCT(G$47:H$47,G$47:H$47,G$50:H$50)/SUM(G$50:H$50))-O60^2),"")</f>
        <v/>
      </c>
      <c r="P74" s="119" t="str">
        <f>IF(P$71*(P87&gt;0),P57/SQRT((SUMPRODUCT(H$47:I$47,H$47:I$47,H$50:I$50)/SUM(H$50:I$50))-P60^2),"")</f>
        <v/>
      </c>
      <c r="Q74" s="180"/>
      <c r="R74" s="132"/>
      <c r="S74" s="120"/>
      <c r="T74" s="120"/>
      <c r="U74" s="120"/>
      <c r="V74" s="120"/>
      <c r="W74" s="120"/>
      <c r="X74" s="120"/>
      <c r="Y74" s="120"/>
      <c r="Z74" s="120"/>
      <c r="AA74" s="9"/>
      <c r="AB74" s="123"/>
      <c r="AC74" s="124" t="s">
        <v>80</v>
      </c>
      <c r="AD74" s="181" t="str">
        <f t="shared" ref="AD74:AH76" si="25">IF(ISNUMBER(AD110),100*EXP(AD110/100)-100,"")</f>
        <v/>
      </c>
      <c r="AE74" s="181" t="str">
        <f t="shared" si="25"/>
        <v/>
      </c>
      <c r="AF74" s="181" t="str">
        <f t="shared" si="25"/>
        <v/>
      </c>
      <c r="AG74" s="181" t="str">
        <f t="shared" si="25"/>
        <v/>
      </c>
      <c r="AH74" s="181" t="str">
        <f t="shared" si="25"/>
        <v/>
      </c>
      <c r="AI74" s="182"/>
      <c r="AJ74" s="120"/>
    </row>
    <row r="75" spans="1:44" x14ac:dyDescent="0.15">
      <c r="A75" s="7"/>
      <c r="B75" s="7"/>
      <c r="C75" s="7"/>
      <c r="D75" s="7"/>
      <c r="E75" s="7"/>
      <c r="F75" s="7"/>
      <c r="G75" s="7"/>
      <c r="H75" s="7"/>
      <c r="I75" s="7"/>
      <c r="J75" s="117"/>
      <c r="K75" s="13" t="s">
        <v>95</v>
      </c>
      <c r="L75" s="133">
        <f>IF(L$71*(L87&gt;0),L58/SQRT((SUMPRODUCT(D$47:E$47,D$47:E$47,D$50:E$50)/SUM(D$50:E$50))-L60^2),"")</f>
        <v>0.2190027390145734</v>
      </c>
      <c r="M75" s="133" t="str">
        <f>IF(M$71*(M87&gt;0),M58/SQRT((SUMPRODUCT(E$47:F$47,E$47:F$47,E$50:F$50)/SUM(E$50:F$50))-M60^2),"")</f>
        <v/>
      </c>
      <c r="N75" s="133" t="str">
        <f>IF(N$71*(N87&gt;0),N58/SQRT((SUMPRODUCT(F$47:G$47,F$47:G$47,F$50:G$50)/SUM(F$50:G$50))-N60^2),"")</f>
        <v/>
      </c>
      <c r="O75" s="133" t="str">
        <f>IF(O$71*(O87&gt;0),O58/SQRT((SUMPRODUCT(G$47:H$47,G$47:H$47,G$50:H$50)/SUM(G$50:H$50))-O60^2),"")</f>
        <v/>
      </c>
      <c r="P75" s="133" t="str">
        <f>IF(P$71*(P87&gt;0),P58/SQRT((SUMPRODUCT(H$47:I$47,H$47:I$47,H$50:I$50)/SUM(H$50:I$50))-P60^2),"")</f>
        <v/>
      </c>
      <c r="Q75" s="183"/>
      <c r="R75" s="141"/>
      <c r="S75" s="142"/>
      <c r="T75" s="142"/>
      <c r="U75" s="142"/>
      <c r="V75" s="142"/>
      <c r="W75" s="142"/>
      <c r="X75" s="142"/>
      <c r="Y75" s="142"/>
      <c r="Z75" s="142"/>
      <c r="AA75" s="9"/>
      <c r="AB75" s="129"/>
      <c r="AC75" s="18" t="s">
        <v>92</v>
      </c>
      <c r="AD75" s="184" t="str">
        <f t="shared" si="25"/>
        <v/>
      </c>
      <c r="AE75" s="184" t="str">
        <f t="shared" si="25"/>
        <v/>
      </c>
      <c r="AF75" s="184" t="str">
        <f t="shared" si="25"/>
        <v/>
      </c>
      <c r="AG75" s="184" t="str">
        <f t="shared" si="25"/>
        <v/>
      </c>
      <c r="AH75" s="184" t="str">
        <f t="shared" si="25"/>
        <v/>
      </c>
      <c r="AI75" s="185"/>
      <c r="AJ75" s="142"/>
    </row>
    <row r="76" spans="1:44" x14ac:dyDescent="0.15">
      <c r="A76" s="7"/>
      <c r="B76" s="7"/>
      <c r="C76" s="7"/>
      <c r="D76" s="7"/>
      <c r="E76" s="7"/>
      <c r="F76" s="7"/>
      <c r="G76" s="7"/>
      <c r="H76" s="7"/>
      <c r="I76" s="7"/>
      <c r="J76" s="117"/>
      <c r="K76" s="13" t="s">
        <v>96</v>
      </c>
      <c r="L76" s="83">
        <f>IF(ISNUMBER(L73),(L75-L74)/2,"")</f>
        <v>0.22092993541265343</v>
      </c>
      <c r="M76" s="83" t="str">
        <f>IF(ISNUMBER(M73),(M75-M74)/2,"")</f>
        <v/>
      </c>
      <c r="N76" s="83" t="str">
        <f>IF(ISNUMBER(N73),(N75-N74)/2,"")</f>
        <v/>
      </c>
      <c r="O76" s="83" t="str">
        <f>IF(ISNUMBER(O73),(O75-O74)/2,"")</f>
        <v/>
      </c>
      <c r="P76" s="83" t="str">
        <f>IF(ISNUMBER(P73),(P75-P74)/2,"")</f>
        <v/>
      </c>
      <c r="Q76" s="183"/>
      <c r="R76" s="160"/>
      <c r="S76" s="146"/>
      <c r="T76" s="146"/>
      <c r="U76" s="146"/>
      <c r="V76" s="146"/>
      <c r="W76" s="146"/>
      <c r="X76" s="146"/>
      <c r="Y76" s="146"/>
      <c r="Z76" s="146"/>
      <c r="AA76" s="9"/>
      <c r="AB76" s="129"/>
      <c r="AC76" s="18" t="s">
        <v>95</v>
      </c>
      <c r="AD76" s="186" t="str">
        <f t="shared" si="25"/>
        <v/>
      </c>
      <c r="AE76" s="186" t="str">
        <f t="shared" si="25"/>
        <v/>
      </c>
      <c r="AF76" s="186" t="str">
        <f t="shared" si="25"/>
        <v/>
      </c>
      <c r="AG76" s="186" t="str">
        <f t="shared" si="25"/>
        <v/>
      </c>
      <c r="AH76" s="186" t="str">
        <f t="shared" si="25"/>
        <v/>
      </c>
      <c r="AI76" s="187"/>
      <c r="AJ76" s="146"/>
    </row>
    <row r="77" spans="1:44" x14ac:dyDescent="0.15">
      <c r="A77" s="7"/>
      <c r="B77" s="7"/>
      <c r="C77" s="7"/>
      <c r="D77" s="7"/>
      <c r="E77" s="7"/>
      <c r="F77" s="7"/>
      <c r="G77" s="7"/>
      <c r="H77" s="7"/>
      <c r="I77" s="7"/>
      <c r="J77" s="117"/>
      <c r="K77" s="138" t="s">
        <v>97</v>
      </c>
      <c r="L77" s="125">
        <f>IF(L$71*(L87&gt;0),L60/SQRT((SUMPRODUCT(D$47:E$47,D$47:E$47,D$50:E$50)/SUM(D$50:E$50))-L60^2),"")</f>
        <v>0.29317335861471777</v>
      </c>
      <c r="M77" s="125" t="str">
        <f>IF(M$71*(M87&gt;0),M60/SQRT((SUMPRODUCT(E$47:F$47,E$47:F$47,E$50:F$50)/SUM(E$50:F$50))-M60^2),"")</f>
        <v/>
      </c>
      <c r="N77" s="125" t="str">
        <f>IF(N$71*(N87&gt;0),N60/SQRT((SUMPRODUCT(F$47:G$47,F$47:G$47,F$50:G$50)/SUM(F$50:G$50))-N60^2),"")</f>
        <v/>
      </c>
      <c r="O77" s="125" t="str">
        <f>IF(O$71*(O87&gt;0),O60/SQRT((SUMPRODUCT(G$47:H$47,G$47:H$47,G$50:H$50)/SUM(G$50:H$50))-O60^2),"")</f>
        <v/>
      </c>
      <c r="P77" s="125" t="str">
        <f>IF(P$71*(P87&gt;0),P60/SQRT((SUMPRODUCT(H$47:I$47,H$47:I$47,H$50:I$50)/SUM(H$50:I$50))-P60^2),"")</f>
        <v/>
      </c>
      <c r="Q77" s="140">
        <f>IF(Q$71,Q60/SQRT(J$47^2),"")</f>
        <v>0.2813322139512216</v>
      </c>
      <c r="R77" s="188"/>
      <c r="S77" s="161"/>
      <c r="T77" s="161"/>
      <c r="U77" s="161"/>
      <c r="V77" s="161"/>
      <c r="W77" s="161"/>
      <c r="X77" s="161"/>
      <c r="Y77" s="161"/>
      <c r="Z77" s="161"/>
      <c r="AA77" s="9"/>
      <c r="AB77" s="129"/>
      <c r="AC77" s="18" t="s">
        <v>109</v>
      </c>
      <c r="AD77" s="60" t="str">
        <f>IF(ISNUMBER(AD74),(AD76-AD75)/2,"")</f>
        <v/>
      </c>
      <c r="AE77" s="60" t="str">
        <f>IF(ISNUMBER(AE74),(AE76-AE75)/2,"")</f>
        <v/>
      </c>
      <c r="AF77" s="60" t="str">
        <f>IF(ISNUMBER(AF74),(AF76-AF75)/2,"")</f>
        <v/>
      </c>
      <c r="AG77" s="60" t="str">
        <f>IF(ISNUMBER(AG74),(AG76-AG75)/2,"")</f>
        <v/>
      </c>
      <c r="AH77" s="60" t="str">
        <f>IF(ISNUMBER(AH74),(AH76-AH75)/2,"")</f>
        <v/>
      </c>
      <c r="AI77" s="187"/>
      <c r="AJ77" s="161"/>
    </row>
    <row r="78" spans="1:44" x14ac:dyDescent="0.15">
      <c r="A78" s="7"/>
      <c r="B78" s="7"/>
      <c r="C78" s="7"/>
      <c r="D78" s="7"/>
      <c r="E78" s="7"/>
      <c r="F78" s="7"/>
      <c r="G78" s="7"/>
      <c r="H78" s="7"/>
      <c r="I78" s="7"/>
      <c r="J78" s="117"/>
      <c r="K78" s="13" t="s">
        <v>92</v>
      </c>
      <c r="L78" s="119">
        <f>IF(L$71*(L87&gt;0),L61/SQRT((SUMPRODUCT(D$47:E$47,D$47:E$47,D$50:E$50)/SUM(D$50:E$50))-L60^2),"")</f>
        <v>0.21656858417173341</v>
      </c>
      <c r="M78" s="119" t="str">
        <f>IF(M$71*(M87&gt;0),M61/SQRT((SUMPRODUCT(E$47:F$47,E$47:F$47,E$50:F$50)/SUM(E$50:F$50))-M60^2),"")</f>
        <v/>
      </c>
      <c r="N78" s="119" t="str">
        <f>IF(N$71*(N87&gt;0),N61/SQRT((SUMPRODUCT(F$47:G$47,F$47:G$47,F$50:G$50)/SUM(F$50:G$50))-N60^2),"")</f>
        <v/>
      </c>
      <c r="O78" s="119" t="str">
        <f>IF(O$71*(O87&gt;0),O61/SQRT((SUMPRODUCT(G$47:H$47,G$47:H$47,G$50:H$50)/SUM(G$50:H$50))-O60^2),"")</f>
        <v/>
      </c>
      <c r="P78" s="119" t="str">
        <f>IF(P$71*(P87&gt;0),P61/SQRT((SUMPRODUCT(H$47:I$47,H$47:I$47,H$50:I$50)/SUM(H$50:I$50))-P60^2),"")</f>
        <v/>
      </c>
      <c r="Q78" s="150">
        <f>IF(Q$71,Q61/SQRT(J$47^2),"")</f>
        <v>0.20782147308748189</v>
      </c>
      <c r="R78" s="188"/>
      <c r="S78" s="189"/>
      <c r="T78" s="189"/>
      <c r="U78" s="189"/>
      <c r="V78" s="189"/>
      <c r="W78" s="189"/>
      <c r="X78" s="189"/>
      <c r="Y78" s="189"/>
      <c r="Z78" s="189"/>
      <c r="AA78" s="9"/>
      <c r="AB78" s="123"/>
      <c r="AC78" s="124" t="s">
        <v>110</v>
      </c>
      <c r="AD78" s="181" t="str">
        <f t="shared" ref="AD78:AH80" si="26">IF(ISNUMBER(AD113),100*EXP(AD113/100)-100,"")</f>
        <v/>
      </c>
      <c r="AE78" s="181" t="str">
        <f t="shared" si="26"/>
        <v/>
      </c>
      <c r="AF78" s="181" t="str">
        <f t="shared" si="26"/>
        <v/>
      </c>
      <c r="AG78" s="181" t="str">
        <f t="shared" si="26"/>
        <v/>
      </c>
      <c r="AH78" s="181" t="str">
        <f t="shared" si="26"/>
        <v/>
      </c>
      <c r="AI78" s="61" t="str">
        <f>IF(ISNUMBER(AI72),100*EXP(AI113/100)-100,"")</f>
        <v/>
      </c>
      <c r="AJ78" s="189"/>
    </row>
    <row r="79" spans="1:44" x14ac:dyDescent="0.15">
      <c r="A79" s="7"/>
      <c r="B79" s="7"/>
      <c r="C79" s="7"/>
      <c r="D79" s="7"/>
      <c r="E79" s="7"/>
      <c r="F79" s="7"/>
      <c r="G79" s="7"/>
      <c r="H79" s="7"/>
      <c r="I79" s="7"/>
      <c r="J79" s="117"/>
      <c r="K79" s="13" t="s">
        <v>95</v>
      </c>
      <c r="L79" s="133">
        <f>IF(L$71*(L87&gt;0),L62/SQRT((SUMPRODUCT(D$47:E$47,D$47:E$47,D$50:E$50)/SUM(D$50:E$50))-L60^2),"")</f>
        <v>0.45374183386217948</v>
      </c>
      <c r="M79" s="133" t="str">
        <f>IF(M$71*(M87&gt;0),M62/SQRT((SUMPRODUCT(E$47:F$47,E$47:F$47,E$50:F$50)/SUM(E$50:F$50))-M60^2),"")</f>
        <v/>
      </c>
      <c r="N79" s="133" t="str">
        <f>IF(N$71*(N87&gt;0),N62/SQRT((SUMPRODUCT(F$47:G$47,F$47:G$47,F$50:G$50)/SUM(F$50:G$50))-N60^2),"")</f>
        <v/>
      </c>
      <c r="O79" s="133" t="str">
        <f>IF(O$71*(O87&gt;0),O62/SQRT((SUMPRODUCT(G$47:H$47,G$47:H$47,G$50:H$50)/SUM(G$50:H$50))-O60^2),"")</f>
        <v/>
      </c>
      <c r="P79" s="133" t="str">
        <f>IF(P$71*(P87&gt;0),P62/SQRT((SUMPRODUCT(H$47:I$47,H$47:I$47,H$50:I$50)/SUM(H$50:I$50))-P60^2),"")</f>
        <v/>
      </c>
      <c r="Q79" s="155">
        <f>IF(Q$71,Q62/SQRT(J$47^2),"")</f>
        <v>0.43541539819957559</v>
      </c>
      <c r="R79" s="190"/>
      <c r="S79" s="189"/>
      <c r="T79" s="189"/>
      <c r="U79" s="189"/>
      <c r="V79" s="189"/>
      <c r="W79" s="189"/>
      <c r="X79" s="189"/>
      <c r="Y79" s="189"/>
      <c r="Z79" s="189"/>
      <c r="AA79" s="9"/>
      <c r="AB79" s="129"/>
      <c r="AC79" s="18" t="s">
        <v>92</v>
      </c>
      <c r="AD79" s="184" t="str">
        <f t="shared" si="26"/>
        <v/>
      </c>
      <c r="AE79" s="184" t="str">
        <f t="shared" si="26"/>
        <v/>
      </c>
      <c r="AF79" s="184" t="str">
        <f t="shared" si="26"/>
        <v/>
      </c>
      <c r="AG79" s="184" t="str">
        <f t="shared" si="26"/>
        <v/>
      </c>
      <c r="AH79" s="184" t="str">
        <f t="shared" si="26"/>
        <v/>
      </c>
      <c r="AI79" s="191" t="str">
        <f>IF(ISNUMBER(AI72),100*EXP(AI114/100)-100,"")</f>
        <v/>
      </c>
      <c r="AJ79" s="189"/>
      <c r="AK79" s="192"/>
      <c r="AL79" s="193"/>
      <c r="AM79" s="194"/>
      <c r="AN79" s="194"/>
      <c r="AO79" s="194"/>
      <c r="AP79" s="194"/>
      <c r="AQ79" s="194"/>
      <c r="AR79" s="192"/>
    </row>
    <row r="80" spans="1:44" x14ac:dyDescent="0.15">
      <c r="A80" s="7"/>
      <c r="B80" s="7"/>
      <c r="C80" s="7"/>
      <c r="D80" s="7"/>
      <c r="E80" s="7"/>
      <c r="F80" s="7"/>
      <c r="G80" s="7"/>
      <c r="H80" s="7"/>
      <c r="I80" s="7"/>
      <c r="J80" s="117"/>
      <c r="K80" s="152" t="s">
        <v>100</v>
      </c>
      <c r="L80" s="83">
        <f t="shared" ref="L80:Q80" si="27">IF(ISNUMBER(L77),SQRT(L79/L78),"")</f>
        <v>1.4474603710322742</v>
      </c>
      <c r="M80" s="83" t="str">
        <f t="shared" si="27"/>
        <v/>
      </c>
      <c r="N80" s="83" t="str">
        <f t="shared" si="27"/>
        <v/>
      </c>
      <c r="O80" s="83" t="str">
        <f t="shared" si="27"/>
        <v/>
      </c>
      <c r="P80" s="83" t="str">
        <f t="shared" si="27"/>
        <v/>
      </c>
      <c r="Q80" s="86">
        <f t="shared" si="27"/>
        <v>1.4474603710322742</v>
      </c>
      <c r="R80" s="190"/>
      <c r="S80" s="48"/>
      <c r="T80" s="48"/>
      <c r="U80" s="48"/>
      <c r="V80" s="48"/>
      <c r="W80" s="48"/>
      <c r="X80" s="48"/>
      <c r="Y80" s="48"/>
      <c r="Z80" s="48"/>
      <c r="AA80" s="9"/>
      <c r="AB80" s="129"/>
      <c r="AC80" s="18" t="s">
        <v>95</v>
      </c>
      <c r="AD80" s="186" t="str">
        <f t="shared" si="26"/>
        <v/>
      </c>
      <c r="AE80" s="186" t="str">
        <f t="shared" si="26"/>
        <v/>
      </c>
      <c r="AF80" s="186" t="str">
        <f t="shared" si="26"/>
        <v/>
      </c>
      <c r="AG80" s="186" t="str">
        <f t="shared" si="26"/>
        <v/>
      </c>
      <c r="AH80" s="186" t="str">
        <f t="shared" si="26"/>
        <v/>
      </c>
      <c r="AI80" s="195" t="str">
        <f>IF(ISNUMBER(AI72),100*EXP(AI115/100)-100,"")</f>
        <v/>
      </c>
      <c r="AJ80" s="48"/>
      <c r="AK80" s="192"/>
      <c r="AL80" s="193"/>
      <c r="AM80" s="194"/>
      <c r="AN80" s="194"/>
      <c r="AO80" s="194"/>
      <c r="AP80" s="194"/>
      <c r="AQ80" s="194"/>
      <c r="AR80" s="192"/>
    </row>
    <row r="81" spans="1:44" x14ac:dyDescent="0.15">
      <c r="A81" s="7"/>
      <c r="B81" s="7"/>
      <c r="C81" s="7"/>
      <c r="D81" s="7"/>
      <c r="E81" s="7"/>
      <c r="F81" s="7"/>
      <c r="G81" s="7"/>
      <c r="H81" s="7"/>
      <c r="I81" s="7"/>
      <c r="J81" s="196"/>
      <c r="K81" s="13" t="s">
        <v>102</v>
      </c>
      <c r="L81" s="83">
        <f t="shared" ref="L81:Q81" si="28">L64</f>
        <v>1.0166666666666666</v>
      </c>
      <c r="M81" s="83" t="str">
        <f t="shared" si="28"/>
        <v/>
      </c>
      <c r="N81" s="83" t="str">
        <f t="shared" si="28"/>
        <v/>
      </c>
      <c r="O81" s="83" t="str">
        <f t="shared" si="28"/>
        <v/>
      </c>
      <c r="P81" s="83" t="str">
        <f t="shared" si="28"/>
        <v/>
      </c>
      <c r="Q81" s="86">
        <f t="shared" si="28"/>
        <v>1.0166666666666666</v>
      </c>
      <c r="R81" s="188"/>
      <c r="S81" s="48"/>
      <c r="T81" s="48"/>
      <c r="U81" s="48"/>
      <c r="V81" s="48"/>
      <c r="W81" s="48"/>
      <c r="X81" s="48"/>
      <c r="Y81" s="48"/>
      <c r="Z81" s="48"/>
      <c r="AA81" s="9"/>
      <c r="AB81" s="129"/>
      <c r="AC81" s="157" t="s">
        <v>100</v>
      </c>
      <c r="AD81" s="83" t="str">
        <f t="shared" ref="AD81:AI81" si="29">IF(ISNUMBER(AD79),SQRT(AD80/AD79),"")</f>
        <v/>
      </c>
      <c r="AE81" s="83" t="str">
        <f t="shared" si="29"/>
        <v/>
      </c>
      <c r="AF81" s="83" t="str">
        <f t="shared" si="29"/>
        <v/>
      </c>
      <c r="AG81" s="83" t="str">
        <f t="shared" si="29"/>
        <v/>
      </c>
      <c r="AH81" s="83" t="str">
        <f t="shared" si="29"/>
        <v/>
      </c>
      <c r="AI81" s="86" t="str">
        <f t="shared" si="29"/>
        <v/>
      </c>
      <c r="AJ81" s="48"/>
      <c r="AK81" s="192"/>
      <c r="AL81" s="193"/>
      <c r="AM81" s="194"/>
      <c r="AN81" s="194"/>
      <c r="AO81" s="194"/>
      <c r="AP81" s="194"/>
      <c r="AQ81" s="194"/>
      <c r="AR81" s="192"/>
    </row>
    <row r="82" spans="1:44" x14ac:dyDescent="0.15">
      <c r="A82" s="7"/>
      <c r="B82" s="7"/>
      <c r="C82" s="7"/>
      <c r="D82" s="7"/>
      <c r="E82" s="7"/>
      <c r="F82" s="7"/>
      <c r="G82" s="7"/>
      <c r="H82" s="7"/>
      <c r="I82" s="7"/>
      <c r="J82" s="197" t="s">
        <v>111</v>
      </c>
      <c r="K82" s="165"/>
      <c r="L82" s="198"/>
      <c r="M82" s="198"/>
      <c r="N82" s="198"/>
      <c r="O82" s="198"/>
      <c r="P82" s="198"/>
      <c r="Q82" s="199"/>
      <c r="R82" s="188"/>
      <c r="S82" s="189"/>
      <c r="T82" s="189"/>
      <c r="U82" s="189"/>
      <c r="V82" s="189"/>
      <c r="W82" s="189"/>
      <c r="X82" s="189"/>
      <c r="Y82" s="189"/>
      <c r="Z82" s="189"/>
      <c r="AA82" s="9"/>
      <c r="AB82" s="129"/>
      <c r="AC82" s="18" t="s">
        <v>102</v>
      </c>
      <c r="AD82" s="83" t="str">
        <f t="shared" ref="AD82:AI82" si="30">IF(ISNUMBER(AD61),(100*AD61^AD116-100)/(100*AD61-100),"")</f>
        <v/>
      </c>
      <c r="AE82" s="83" t="str">
        <f t="shared" si="30"/>
        <v/>
      </c>
      <c r="AF82" s="83" t="str">
        <f t="shared" si="30"/>
        <v/>
      </c>
      <c r="AG82" s="83" t="str">
        <f t="shared" si="30"/>
        <v/>
      </c>
      <c r="AH82" s="83" t="str">
        <f t="shared" si="30"/>
        <v/>
      </c>
      <c r="AI82" s="86" t="str">
        <f t="shared" si="30"/>
        <v/>
      </c>
      <c r="AJ82" s="189"/>
      <c r="AK82" s="192"/>
      <c r="AL82" s="193"/>
    </row>
    <row r="83" spans="1:44" x14ac:dyDescent="0.15">
      <c r="A83" s="7"/>
      <c r="B83" s="7"/>
      <c r="C83" s="7"/>
      <c r="D83" s="7"/>
      <c r="E83" s="200"/>
      <c r="F83" s="200"/>
      <c r="G83" s="200"/>
      <c r="H83" s="200"/>
      <c r="I83" s="7"/>
      <c r="J83" s="201"/>
      <c r="K83" s="138" t="s">
        <v>112</v>
      </c>
      <c r="L83" s="125">
        <f>IF(L71&gt;1,CORREL(D30:D45,E30:E45)*(1+(1-CORREL(D30:D45,E30:E45)^2)/2/(L48-3)),"")</f>
        <v>0.89648469413878817</v>
      </c>
      <c r="M83" s="125" t="str">
        <f>IF(M71&gt;1,CORREL(#REF!,#REF!)*(1+(1-CORREL(#REF!,#REF!)^2)/2/(M48-3)),"")</f>
        <v/>
      </c>
      <c r="N83" s="125" t="str">
        <f>IF(N71&gt;1,CORREL(#REF!,#REF!)*(1+(1-CORREL(#REF!,#REF!)^2)/2/(N48-3)),"")</f>
        <v/>
      </c>
      <c r="O83" s="125" t="str">
        <f>IF(O71&gt;1,CORREL(#REF!,#REF!)*(1+(1-CORREL(#REF!,#REF!)^2)/2/(O48-3)),"")</f>
        <v/>
      </c>
      <c r="P83" s="125" t="str">
        <f>IF(P71&gt;1,CORREL(#REF!,#REF!)*(1+(1-CORREL(#REF!,#REF!)^2)/2/(P48-3)),"")</f>
        <v/>
      </c>
      <c r="Q83" s="140">
        <f>FISHERINV(Q96)</f>
        <v>0.89648469413878817</v>
      </c>
      <c r="R83" s="202"/>
      <c r="S83" s="189"/>
      <c r="T83" s="189"/>
      <c r="U83" s="189"/>
      <c r="V83" s="189"/>
      <c r="W83" s="189"/>
      <c r="X83" s="189"/>
      <c r="Y83" s="189"/>
      <c r="Z83" s="189"/>
      <c r="AA83" s="9"/>
      <c r="AB83" s="129"/>
      <c r="AC83" s="124" t="s">
        <v>103</v>
      </c>
      <c r="AD83" s="181" t="str">
        <f t="shared" ref="AD83:AI88" si="31">IF(ISNUMBER(AD117),100*EXP(AD117/100)-100,"")</f>
        <v/>
      </c>
      <c r="AE83" s="181" t="str">
        <f t="shared" si="31"/>
        <v/>
      </c>
      <c r="AF83" s="181" t="str">
        <f t="shared" si="31"/>
        <v/>
      </c>
      <c r="AG83" s="181" t="str">
        <f t="shared" si="31"/>
        <v/>
      </c>
      <c r="AH83" s="181" t="str">
        <f t="shared" si="31"/>
        <v/>
      </c>
      <c r="AI83" s="181" t="str">
        <f t="shared" si="31"/>
        <v/>
      </c>
      <c r="AJ83" s="189"/>
    </row>
    <row r="84" spans="1:44" ht="14" x14ac:dyDescent="0.15">
      <c r="A84" s="7"/>
      <c r="B84" s="7"/>
      <c r="C84" s="7"/>
      <c r="D84" s="7"/>
      <c r="E84" s="7"/>
      <c r="F84" s="7"/>
      <c r="G84" s="7"/>
      <c r="H84" s="7"/>
      <c r="I84" s="7"/>
      <c r="J84" s="117"/>
      <c r="K84" s="13" t="s">
        <v>92</v>
      </c>
      <c r="L84" s="83">
        <f>IF(L71&gt;2,(EXP(2*(0.5*LN((1+L83)/(1-L83))-NORMINV(1-(1-$D$27/100)/2,0,1)/SQRT(COUNT(L30:L45)-3)))-1)/(EXP(2*(0.5*LN((1+L83)/(1-L83))-NORMINV(1-(1-$D$27/100)/2,0,1)/SQRT(COUNT(L30:L45)-3)))+1),"")</f>
        <v>0.72133507463834157</v>
      </c>
      <c r="M84" s="119" t="str">
        <f>IF(M71&gt;2,(EXP(2*(0.5*LN((1+M83)/(1-M83))-NORMINV(1-(1-$D$27/100)/2,0,1)/SQRT(COUNT(#REF!)-3)))-1)/(EXP(2*(0.5*LN((1+M83)/(1-M83))-NORMINV(1-(1-$D$27/100)/2,0,1)/SQRT(COUNT(#REF!)-3)))+1),"")</f>
        <v/>
      </c>
      <c r="N84" s="119" t="str">
        <f>IF(N71&gt;2,(EXP(2*(0.5*LN((1+N83)/(1-N83))-NORMINV(1-(1-$D$27/100)/2,0,1)/SQRT(COUNT(#REF!)-3)))-1)/(EXP(2*(0.5*LN((1+N83)/(1-N83))-NORMINV(1-(1-$D$27/100)/2,0,1)/SQRT(COUNT(#REF!)-3)))+1),"")</f>
        <v/>
      </c>
      <c r="O84" s="119" t="str">
        <f>IF(O71&gt;2,(EXP(2*(0.5*LN((1+O83)/(1-O83))-NORMINV(1-(1-$D$27/100)/2,0,1)/SQRT(COUNT(#REF!)-3)))-1)/(EXP(2*(0.5*LN((1+O83)/(1-O83))-NORMINV(1-(1-$D$27/100)/2,0,1)/SQRT(COUNT(#REF!)-3)))+1),"")</f>
        <v/>
      </c>
      <c r="P84" s="119" t="str">
        <f>IF(P71&gt;2,(EXP(2*(0.5*LN((1+P83)/(1-P83))-NORMINV(1-(1-$D$27/100)/2,0,1)/SQRT(COUNT(#REF!)-3)))-1)/(EXP(2*(0.5*LN((1+P83)/(1-P83))-NORMINV(1-(1-$D$27/100)/2,0,1)/SQRT(COUNT(#REF!)-3)))+1),"")</f>
        <v/>
      </c>
      <c r="Q84" s="180"/>
      <c r="R84" s="7"/>
      <c r="S84" s="203"/>
      <c r="T84" s="203"/>
      <c r="U84" s="64"/>
      <c r="V84" s="204"/>
      <c r="W84" s="205"/>
      <c r="X84" s="205"/>
      <c r="Y84" s="205"/>
      <c r="Z84" s="205"/>
      <c r="AA84" s="205"/>
      <c r="AB84" s="129"/>
      <c r="AC84" s="18" t="s">
        <v>92</v>
      </c>
      <c r="AD84" s="184" t="str">
        <f t="shared" si="31"/>
        <v/>
      </c>
      <c r="AE84" s="184" t="str">
        <f t="shared" si="31"/>
        <v/>
      </c>
      <c r="AF84" s="184" t="str">
        <f t="shared" si="31"/>
        <v/>
      </c>
      <c r="AG84" s="184" t="str">
        <f t="shared" si="31"/>
        <v/>
      </c>
      <c r="AH84" s="184" t="str">
        <f t="shared" si="31"/>
        <v/>
      </c>
      <c r="AI84" s="184" t="str">
        <f t="shared" si="31"/>
        <v/>
      </c>
      <c r="AJ84" s="206"/>
    </row>
    <row r="85" spans="1:44" ht="14" x14ac:dyDescent="0.15">
      <c r="A85" s="7"/>
      <c r="B85" s="7"/>
      <c r="C85" s="7"/>
      <c r="D85" s="7"/>
      <c r="E85" s="7"/>
      <c r="F85" s="7"/>
      <c r="G85" s="7"/>
      <c r="H85" s="7"/>
      <c r="I85" s="7"/>
      <c r="J85" s="117"/>
      <c r="K85" s="13" t="s">
        <v>95</v>
      </c>
      <c r="L85" s="83">
        <f>IF(L71&gt;2,(EXP(2*(0.5*LN((1+L83)/(1-L83))+NORMINV(1-(1-$D$27/100)/2,0,1)/SQRT(COUNT(L30:L45)-3)))-1)/(EXP(2*(0.5*LN((1+L83)/(1-L83))+NORMINV(1-(1-$D$27/100)/2,0,1)/SQRT(COUNT(L30:L45)-3)))+1),"")</f>
        <v>0.96385869741883867</v>
      </c>
      <c r="M85" s="128" t="str">
        <f>IF(M71&gt;2,(EXP(2*(0.5*LN((1+M83)/(1-M83))+NORMINV(1-(1-$D$27/100)/2,0,1)/SQRT(COUNT(#REF!)-3)))-1)/(EXP(2*(0.5*LN((1+M83)/(1-M83))+NORMINV(1-(1-$D$27/100)/2,0,1)/SQRT(COUNT(#REF!)-3)))+1),"")</f>
        <v/>
      </c>
      <c r="N85" s="128" t="str">
        <f>IF(N71&gt;2,(EXP(2*(0.5*LN((1+N83)/(1-N83))+NORMINV(1-(1-$D$27/100)/2,0,1)/SQRT(COUNT(#REF!)-3)))-1)/(EXP(2*(0.5*LN((1+N83)/(1-N83))+NORMINV(1-(1-$D$27/100)/2,0,1)/SQRT(COUNT(#REF!)-3)))+1),"")</f>
        <v/>
      </c>
      <c r="O85" s="128" t="str">
        <f>IF(O71&gt;2,(EXP(2*(0.5*LN((1+O83)/(1-O83))+NORMINV(1-(1-$D$27/100)/2,0,1)/SQRT(COUNT(#REF!)-3)))-1)/(EXP(2*(0.5*LN((1+O83)/(1-O83))+NORMINV(1-(1-$D$27/100)/2,0,1)/SQRT(COUNT(#REF!)-3)))+1),"")</f>
        <v/>
      </c>
      <c r="P85" s="128" t="str">
        <f>IF(P71&gt;2,(EXP(2*(0.5*LN((1+P83)/(1-P83))+NORMINV(1-(1-$D$27/100)/2,0,1)/SQRT(COUNT(#REF!)-3)))-1)/(EXP(2*(0.5*LN((1+P83)/(1-P83))+NORMINV(1-(1-$D$27/100)/2,0,1)/SQRT(COUNT(#REF!)-3)))+1),"")</f>
        <v/>
      </c>
      <c r="Q85" s="180"/>
      <c r="R85" s="7"/>
      <c r="S85" s="9"/>
      <c r="T85" s="9"/>
      <c r="U85" s="9"/>
      <c r="V85" s="9"/>
      <c r="W85" s="9"/>
      <c r="X85" s="9"/>
      <c r="Y85" s="9"/>
      <c r="Z85" s="9"/>
      <c r="AA85" s="9"/>
      <c r="AB85" s="129"/>
      <c r="AC85" s="18" t="s">
        <v>95</v>
      </c>
      <c r="AD85" s="186" t="str">
        <f t="shared" si="31"/>
        <v/>
      </c>
      <c r="AE85" s="186" t="str">
        <f t="shared" si="31"/>
        <v/>
      </c>
      <c r="AF85" s="186" t="str">
        <f t="shared" si="31"/>
        <v/>
      </c>
      <c r="AG85" s="186" t="str">
        <f t="shared" si="31"/>
        <v/>
      </c>
      <c r="AH85" s="186" t="str">
        <f t="shared" si="31"/>
        <v/>
      </c>
      <c r="AI85" s="186" t="str">
        <f t="shared" si="31"/>
        <v/>
      </c>
      <c r="AJ85" s="29"/>
    </row>
    <row r="86" spans="1:44" x14ac:dyDescent="0.15">
      <c r="J86" s="117"/>
      <c r="K86" s="13" t="s">
        <v>102</v>
      </c>
      <c r="L86" s="83">
        <f>IF(L71&gt;2,1+(1-CORREL(D30:D45,E30:E45)^2)/2/(L48-3),"")</f>
        <v>1.0080418110172997</v>
      </c>
      <c r="M86" s="83" t="str">
        <f>IF(M71&gt;2,1+(1-CORREL(#REF!,#REF!)^2)/2/(M48-3),"")</f>
        <v/>
      </c>
      <c r="N86" s="83" t="str">
        <f>IF(N71&gt;2,1+(1-CORREL(#REF!,#REF!)^2)/2/(N48-3),"")</f>
        <v/>
      </c>
      <c r="O86" s="83" t="str">
        <f>IF(O71&gt;2,1+(1-CORREL(#REF!,#REF!)^2)/2/(O48-3),"")</f>
        <v/>
      </c>
      <c r="P86" s="83" t="str">
        <f>IF(P71&gt;2,1+(1-CORREL(#REF!,#REF!)^2)/2/(P48-3),"")</f>
        <v/>
      </c>
      <c r="Q86" s="180"/>
      <c r="S86" s="9"/>
      <c r="T86" s="9"/>
      <c r="U86" s="9"/>
      <c r="V86" s="9"/>
      <c r="W86" s="9"/>
      <c r="X86" s="9"/>
      <c r="Y86" s="9"/>
      <c r="Z86" s="9"/>
      <c r="AA86" s="9"/>
      <c r="AB86" s="129"/>
      <c r="AC86" s="124" t="s">
        <v>105</v>
      </c>
      <c r="AD86" s="181" t="str">
        <f t="shared" si="31"/>
        <v/>
      </c>
      <c r="AE86" s="181" t="str">
        <f t="shared" si="31"/>
        <v/>
      </c>
      <c r="AF86" s="181" t="str">
        <f t="shared" si="31"/>
        <v/>
      </c>
      <c r="AG86" s="181" t="str">
        <f t="shared" si="31"/>
        <v/>
      </c>
      <c r="AH86" s="181" t="str">
        <f t="shared" si="31"/>
        <v/>
      </c>
      <c r="AI86" s="181" t="str">
        <f t="shared" si="31"/>
        <v/>
      </c>
      <c r="AJ86" s="207"/>
    </row>
    <row r="87" spans="1:44" x14ac:dyDescent="0.15">
      <c r="J87" s="117"/>
      <c r="K87" s="138" t="s">
        <v>113</v>
      </c>
      <c r="L87" s="139">
        <f>IF(L71,(1-L60^2/(SUMPRODUCT(D47:E47,D47:E47,D50:E50)/SUM(D50:E50)))*(1+(1-(1-L60^2/(SUMPRODUCT(D47:E47,D47:E47,D50:E50)/SUM(D50:E50)))^2)/(D48+E48-L48-3)),"")</f>
        <v>0.93162128625920448</v>
      </c>
      <c r="M87" s="125" t="str">
        <f>IF(M71,(1-M60^2/(SUMPRODUCT(E47:F47,E47:F47,E50:F50)/SUM(E50:F50)))*(1+(1-(1-M60^2/(SUMPRODUCT(E47:F47,E47:F47,E50:F50)/SUM(E50:F50)))^2)/(E48+F48-M48-3)),"")</f>
        <v/>
      </c>
      <c r="N87" s="125" t="str">
        <f>IF(N71,(1-N60^2/(SUMPRODUCT(F47:G47,F47:G47,F50:G50)/SUM(F50:G50)))*(1+(1-(1-N60^2/(SUMPRODUCT(F47:G47,F47:G47,F50:G50)/SUM(F50:G50)))^2)/(F48+G48-N48-3)),"")</f>
        <v/>
      </c>
      <c r="O87" s="125" t="str">
        <f>IF(O71,(1-O60^2/(SUMPRODUCT(G47:H47,G47:H47,G50:H50)/SUM(G50:H50)))*(1+(1-(1-O60^2/(SUMPRODUCT(G47:H47,G47:H47,G50:H50)/SUM(G50:H50)))^2)/(G48+H48-O48-3)),"")</f>
        <v/>
      </c>
      <c r="P87" s="125" t="str">
        <f>IF(P71,(1-P60^2/(SUMPRODUCT(H47:I47,H47:I47,H50:I50)/SUM(H50:I50)))*(1+(1-(1-P60^2/(SUMPRODUCT(H47:I47,H47:I47,H50:I50)/SUM(H50:I50)))^2)/(H48+I48-P48-3)),"")</f>
        <v/>
      </c>
      <c r="Q87" s="140" t="e">
        <f>(1-Q60^2/J47^2)*(1+(1-(1-Q60^2/J47^2)^2)/(R46-3))</f>
        <v>#REF!</v>
      </c>
      <c r="S87" s="9"/>
      <c r="T87" s="9"/>
      <c r="U87" s="9"/>
      <c r="V87" s="9"/>
      <c r="W87" s="9"/>
      <c r="X87" s="9"/>
      <c r="Y87" s="9"/>
      <c r="Z87" s="9"/>
      <c r="AA87" s="9"/>
      <c r="AB87" s="129"/>
      <c r="AC87" s="18" t="s">
        <v>92</v>
      </c>
      <c r="AD87" s="184" t="str">
        <f t="shared" si="31"/>
        <v/>
      </c>
      <c r="AE87" s="184" t="str">
        <f t="shared" si="31"/>
        <v/>
      </c>
      <c r="AF87" s="184" t="str">
        <f t="shared" si="31"/>
        <v/>
      </c>
      <c r="AG87" s="184" t="str">
        <f t="shared" si="31"/>
        <v/>
      </c>
      <c r="AH87" s="184" t="str">
        <f t="shared" si="31"/>
        <v/>
      </c>
      <c r="AI87" s="184" t="str">
        <f t="shared" si="31"/>
        <v/>
      </c>
      <c r="AJ87" s="64"/>
    </row>
    <row r="88" spans="1:44" x14ac:dyDescent="0.15">
      <c r="J88" s="117"/>
      <c r="K88" s="13" t="s">
        <v>92</v>
      </c>
      <c r="L88" s="118">
        <f t="shared" ref="L88:Q88" si="32">IF(L71,(L94-1)/(L94+L90-1),"")</f>
        <v>0.81600744918960033</v>
      </c>
      <c r="M88" s="119" t="str">
        <f t="shared" si="32"/>
        <v/>
      </c>
      <c r="N88" s="119" t="str">
        <f t="shared" si="32"/>
        <v/>
      </c>
      <c r="O88" s="119" t="str">
        <f t="shared" si="32"/>
        <v/>
      </c>
      <c r="P88" s="119" t="str">
        <f t="shared" si="32"/>
        <v/>
      </c>
      <c r="Q88" s="150" t="e">
        <f t="shared" si="32"/>
        <v>#REF!</v>
      </c>
      <c r="S88" s="9"/>
      <c r="T88" s="9"/>
      <c r="U88" s="9"/>
      <c r="V88" s="9"/>
      <c r="W88" s="9"/>
      <c r="X88" s="9"/>
      <c r="Y88" s="9"/>
      <c r="Z88" s="9"/>
      <c r="AA88" s="9"/>
      <c r="AB88" s="129"/>
      <c r="AC88" s="95" t="s">
        <v>95</v>
      </c>
      <c r="AD88" s="186" t="str">
        <f t="shared" si="31"/>
        <v/>
      </c>
      <c r="AE88" s="186" t="str">
        <f t="shared" si="31"/>
        <v/>
      </c>
      <c r="AF88" s="186" t="str">
        <f t="shared" si="31"/>
        <v/>
      </c>
      <c r="AG88" s="186" t="str">
        <f t="shared" si="31"/>
        <v/>
      </c>
      <c r="AH88" s="186" t="str">
        <f t="shared" si="31"/>
        <v/>
      </c>
      <c r="AI88" s="186" t="str">
        <f t="shared" si="31"/>
        <v/>
      </c>
      <c r="AJ88" s="64"/>
    </row>
    <row r="89" spans="1:44" x14ac:dyDescent="0.15">
      <c r="J89" s="196"/>
      <c r="K89" s="208" t="s">
        <v>95</v>
      </c>
      <c r="L89" s="209">
        <f t="shared" ref="L89:Q89" si="33">IF(L71,(L95-1)/(L95+L90-1),"")</f>
        <v>0.97556531932431523</v>
      </c>
      <c r="M89" s="210" t="str">
        <f t="shared" si="33"/>
        <v/>
      </c>
      <c r="N89" s="210" t="str">
        <f t="shared" si="33"/>
        <v/>
      </c>
      <c r="O89" s="210" t="str">
        <f t="shared" si="33"/>
        <v/>
      </c>
      <c r="P89" s="210" t="str">
        <f t="shared" si="33"/>
        <v/>
      </c>
      <c r="Q89" s="211" t="e">
        <f t="shared" si="33"/>
        <v>#REF!</v>
      </c>
      <c r="S89" s="9"/>
      <c r="T89" s="9"/>
      <c r="U89" s="9"/>
      <c r="V89" s="9"/>
      <c r="W89" s="9"/>
      <c r="X89" s="9"/>
      <c r="Y89" s="9"/>
      <c r="Z89" s="9"/>
      <c r="AA89" s="9"/>
      <c r="AB89" s="258" t="s">
        <v>107</v>
      </c>
      <c r="AC89" s="259"/>
      <c r="AD89" s="177"/>
      <c r="AE89" s="177"/>
      <c r="AF89" s="177"/>
      <c r="AG89" s="177"/>
      <c r="AH89" s="177"/>
      <c r="AI89" s="178"/>
      <c r="AJ89" s="207"/>
    </row>
    <row r="90" spans="1:44" x14ac:dyDescent="0.15">
      <c r="J90" s="63"/>
      <c r="K90" s="79" t="s">
        <v>114</v>
      </c>
      <c r="L90" s="212">
        <f>IF(L71,1+L71/(D48+E48-L48-1),"")</f>
        <v>2</v>
      </c>
      <c r="M90" s="212" t="str">
        <f>IF(M71,1+M71/(E48+F48-M48-1),"")</f>
        <v/>
      </c>
      <c r="N90" s="212" t="str">
        <f>IF(N71,1+N71/(F48+G48-N48-1),"")</f>
        <v/>
      </c>
      <c r="O90" s="212" t="str">
        <f>IF(O71,1+O71/(G48+H48-O48-1),"")</f>
        <v/>
      </c>
      <c r="P90" s="212" t="str">
        <f>IF(P71,1+P71/(H48+I48-P48-1),"")</f>
        <v/>
      </c>
      <c r="Q90" s="212" t="e">
        <f>IF(Q71,1+Q71/(R46-1),"")</f>
        <v>#REF!</v>
      </c>
      <c r="S90" s="9"/>
      <c r="T90" s="9"/>
      <c r="U90" s="9"/>
      <c r="V90" s="9"/>
      <c r="W90" s="9"/>
      <c r="X90" s="9"/>
      <c r="Y90" s="9"/>
      <c r="Z90" s="9"/>
      <c r="AA90" s="9"/>
      <c r="AB90" s="129"/>
      <c r="AC90" s="124" t="s">
        <v>89</v>
      </c>
      <c r="AD90" s="125" t="str">
        <f t="shared" ref="AD90:AH92" si="34">AD125</f>
        <v/>
      </c>
      <c r="AE90" s="125" t="str">
        <f t="shared" si="34"/>
        <v/>
      </c>
      <c r="AF90" s="125" t="str">
        <f t="shared" si="34"/>
        <v/>
      </c>
      <c r="AG90" s="125" t="str">
        <f t="shared" si="34"/>
        <v/>
      </c>
      <c r="AH90" s="125" t="str">
        <f t="shared" si="34"/>
        <v/>
      </c>
      <c r="AI90" s="213"/>
      <c r="AJ90" s="64"/>
    </row>
    <row r="91" spans="1:44" x14ac:dyDescent="0.15">
      <c r="J91" s="63"/>
      <c r="K91" s="79" t="s">
        <v>115</v>
      </c>
      <c r="L91" s="212">
        <f t="shared" ref="L91:Q91" si="35">IF(L71,1+L87*L90/(1-L87),"")</f>
        <v>28.248868406349931</v>
      </c>
      <c r="M91" s="212" t="str">
        <f t="shared" si="35"/>
        <v/>
      </c>
      <c r="N91" s="212" t="str">
        <f t="shared" si="35"/>
        <v/>
      </c>
      <c r="O91" s="212" t="str">
        <f t="shared" si="35"/>
        <v/>
      </c>
      <c r="P91" s="212" t="str">
        <f t="shared" si="35"/>
        <v/>
      </c>
      <c r="Q91" s="212" t="e">
        <f t="shared" si="35"/>
        <v>#REF!</v>
      </c>
      <c r="S91" s="9"/>
      <c r="T91" s="9"/>
      <c r="U91" s="9"/>
      <c r="V91" s="9"/>
      <c r="W91" s="9"/>
      <c r="X91" s="9"/>
      <c r="Y91" s="9"/>
      <c r="Z91" s="9"/>
      <c r="AA91" s="9"/>
      <c r="AB91" s="129"/>
      <c r="AC91" s="18" t="s">
        <v>92</v>
      </c>
      <c r="AD91" s="119" t="str">
        <f t="shared" si="34"/>
        <v/>
      </c>
      <c r="AE91" s="119" t="str">
        <f t="shared" si="34"/>
        <v/>
      </c>
      <c r="AF91" s="119" t="str">
        <f t="shared" si="34"/>
        <v/>
      </c>
      <c r="AG91" s="119" t="str">
        <f t="shared" si="34"/>
        <v/>
      </c>
      <c r="AH91" s="119" t="str">
        <f t="shared" si="34"/>
        <v/>
      </c>
      <c r="AI91" s="213"/>
      <c r="AJ91" s="64"/>
    </row>
    <row r="92" spans="1:44" x14ac:dyDescent="0.15">
      <c r="J92" s="63"/>
      <c r="K92" s="79" t="s">
        <v>116</v>
      </c>
      <c r="L92" s="47">
        <f>IF(L71,D48+E48-L48-1,"")</f>
        <v>15</v>
      </c>
      <c r="M92" s="47" t="str">
        <f>IF(M71,E48+F48-M48-1,"")</f>
        <v/>
      </c>
      <c r="N92" s="47" t="str">
        <f>IF(N71,F48+G48-N48-1,"")</f>
        <v/>
      </c>
      <c r="O92" s="47" t="str">
        <f>IF(O71,G48+H48-O48-1,"")</f>
        <v/>
      </c>
      <c r="P92" s="47" t="str">
        <f>IF(P71,H48+I48-P48-1,"")</f>
        <v/>
      </c>
      <c r="Q92" s="47" t="e">
        <f>IF(Q71,R46-1,"")</f>
        <v>#REF!</v>
      </c>
      <c r="S92" s="9"/>
      <c r="T92" s="9"/>
      <c r="U92" s="9"/>
      <c r="V92" s="9"/>
      <c r="W92" s="9"/>
      <c r="X92" s="9"/>
      <c r="Y92" s="9"/>
      <c r="Z92" s="9"/>
      <c r="AA92" s="9"/>
      <c r="AB92" s="129"/>
      <c r="AC92" s="18" t="s">
        <v>95</v>
      </c>
      <c r="AD92" s="133" t="str">
        <f t="shared" si="34"/>
        <v/>
      </c>
      <c r="AE92" s="133" t="str">
        <f t="shared" si="34"/>
        <v/>
      </c>
      <c r="AF92" s="133" t="str">
        <f t="shared" si="34"/>
        <v/>
      </c>
      <c r="AG92" s="133" t="str">
        <f t="shared" si="34"/>
        <v/>
      </c>
      <c r="AH92" s="133" t="str">
        <f t="shared" si="34"/>
        <v/>
      </c>
      <c r="AI92" s="213"/>
      <c r="AJ92" s="207"/>
    </row>
    <row r="93" spans="1:44" x14ac:dyDescent="0.15">
      <c r="J93" s="63"/>
      <c r="K93" s="79" t="s">
        <v>117</v>
      </c>
      <c r="L93" s="80">
        <f t="shared" ref="L93:Q93" si="36">L71</f>
        <v>15</v>
      </c>
      <c r="M93" s="80">
        <f t="shared" si="36"/>
        <v>0</v>
      </c>
      <c r="N93" s="80">
        <f t="shared" si="36"/>
        <v>0</v>
      </c>
      <c r="O93" s="80">
        <f t="shared" si="36"/>
        <v>0</v>
      </c>
      <c r="P93" s="80">
        <f t="shared" si="36"/>
        <v>0</v>
      </c>
      <c r="Q93" s="80">
        <f t="shared" si="36"/>
        <v>15</v>
      </c>
      <c r="S93" s="9"/>
      <c r="T93" s="9"/>
      <c r="U93" s="9"/>
      <c r="V93" s="9"/>
      <c r="W93" s="9"/>
      <c r="X93" s="9"/>
      <c r="Y93" s="9"/>
      <c r="Z93" s="9"/>
      <c r="AA93" s="9"/>
      <c r="AB93" s="129"/>
      <c r="AC93" s="18" t="s">
        <v>96</v>
      </c>
      <c r="AD93" s="83" t="str">
        <f>IF(ISNUMBER(AD90),(AD92-AD91)/2,"")</f>
        <v/>
      </c>
      <c r="AE93" s="83" t="str">
        <f>IF(ISNUMBER(AE90),(AE92-AE91)/2,"")</f>
        <v/>
      </c>
      <c r="AF93" s="83" t="str">
        <f>IF(ISNUMBER(AF90),(AF92-AF91)/2,"")</f>
        <v/>
      </c>
      <c r="AG93" s="83" t="str">
        <f>IF(ISNUMBER(AG90),(AG92-AG91)/2,"")</f>
        <v/>
      </c>
      <c r="AH93" s="83" t="str">
        <f>IF(ISNUMBER(AH90),(AH92-AH91)/2,"")</f>
        <v/>
      </c>
      <c r="AI93" s="187"/>
      <c r="AJ93" s="64"/>
    </row>
    <row r="94" spans="1:44" x14ac:dyDescent="0.15">
      <c r="J94" s="63"/>
      <c r="K94" s="79" t="s">
        <v>118</v>
      </c>
      <c r="L94" s="212">
        <f t="shared" ref="L94:Q94" si="37">IF(L71,L91/FINV((1-$D$27/100)/2,L92,L93),"")</f>
        <v>9.870005286577916</v>
      </c>
      <c r="M94" s="212" t="str">
        <f t="shared" si="37"/>
        <v/>
      </c>
      <c r="N94" s="212" t="str">
        <f t="shared" si="37"/>
        <v/>
      </c>
      <c r="O94" s="212" t="str">
        <f t="shared" si="37"/>
        <v/>
      </c>
      <c r="P94" s="212" t="str">
        <f t="shared" si="37"/>
        <v/>
      </c>
      <c r="Q94" s="212" t="e">
        <f t="shared" si="37"/>
        <v>#REF!</v>
      </c>
      <c r="S94" s="9"/>
      <c r="T94" s="9"/>
      <c r="U94" s="9"/>
      <c r="V94" s="9"/>
      <c r="W94" s="9"/>
      <c r="X94" s="9"/>
      <c r="Y94" s="9"/>
      <c r="Z94" s="9"/>
      <c r="AA94" s="9"/>
      <c r="AB94" s="129"/>
      <c r="AC94" s="124" t="s">
        <v>97</v>
      </c>
      <c r="AD94" s="125" t="str">
        <f t="shared" ref="AD94:AI96" si="38">AD128</f>
        <v/>
      </c>
      <c r="AE94" s="125" t="str">
        <f t="shared" si="38"/>
        <v/>
      </c>
      <c r="AF94" s="125" t="str">
        <f t="shared" si="38"/>
        <v/>
      </c>
      <c r="AG94" s="125" t="str">
        <f t="shared" si="38"/>
        <v/>
      </c>
      <c r="AH94" s="125" t="str">
        <f t="shared" si="38"/>
        <v/>
      </c>
      <c r="AI94" s="140" t="str">
        <f t="shared" si="38"/>
        <v/>
      </c>
      <c r="AJ94" s="64"/>
    </row>
    <row r="95" spans="1:44" x14ac:dyDescent="0.15">
      <c r="J95" s="214"/>
      <c r="K95" s="79" t="s">
        <v>119</v>
      </c>
      <c r="L95" s="215">
        <f t="shared" ref="L95:Q95" si="39">IF(L71,L91*FINV((1-$D$27/100)/2,L93,L92),"")</f>
        <v>80.850875259860558</v>
      </c>
      <c r="M95" s="212" t="str">
        <f t="shared" si="39"/>
        <v/>
      </c>
      <c r="N95" s="212" t="str">
        <f t="shared" si="39"/>
        <v/>
      </c>
      <c r="O95" s="212" t="str">
        <f t="shared" si="39"/>
        <v/>
      </c>
      <c r="P95" s="212" t="str">
        <f t="shared" si="39"/>
        <v/>
      </c>
      <c r="Q95" s="212" t="e">
        <f t="shared" si="39"/>
        <v>#REF!</v>
      </c>
      <c r="S95" s="9"/>
      <c r="T95" s="9"/>
      <c r="U95" s="9"/>
      <c r="V95" s="9"/>
      <c r="W95" s="9"/>
      <c r="X95" s="9"/>
      <c r="Y95" s="9"/>
      <c r="Z95" s="9"/>
      <c r="AA95" s="9"/>
      <c r="AB95" s="129"/>
      <c r="AC95" s="18" t="s">
        <v>92</v>
      </c>
      <c r="AD95" s="119" t="str">
        <f t="shared" si="38"/>
        <v/>
      </c>
      <c r="AE95" s="119" t="str">
        <f t="shared" si="38"/>
        <v/>
      </c>
      <c r="AF95" s="119" t="str">
        <f t="shared" si="38"/>
        <v/>
      </c>
      <c r="AG95" s="119" t="str">
        <f t="shared" si="38"/>
        <v/>
      </c>
      <c r="AH95" s="119" t="str">
        <f t="shared" si="38"/>
        <v/>
      </c>
      <c r="AI95" s="150" t="str">
        <f t="shared" si="38"/>
        <v/>
      </c>
      <c r="AJ95" s="64"/>
    </row>
    <row r="96" spans="1:44" x14ac:dyDescent="0.15">
      <c r="J96" s="8"/>
      <c r="K96" s="216" t="s">
        <v>120</v>
      </c>
      <c r="L96" s="217">
        <f>IF((L48&gt;3)*L71,FISHER(L83),"")</f>
        <v>1.45401890301211</v>
      </c>
      <c r="M96" s="217" t="str">
        <f>IF((M48&gt;3)*M71,FISHER(M83),"")</f>
        <v/>
      </c>
      <c r="N96" s="217" t="str">
        <f>IF((N48&gt;3)*N71,FISHER(N83),"")</f>
        <v/>
      </c>
      <c r="O96" s="217" t="str">
        <f>IF((O48&gt;3)*O71,FISHER(O83),"")</f>
        <v/>
      </c>
      <c r="P96" s="217" t="str">
        <f>IF((P48&gt;3)*P71,FISHER(P83),"")</f>
        <v/>
      </c>
      <c r="Q96" s="217">
        <f>SUMPRODUCT(L96:P96,L97:P97)/SUM(L97:P97)</f>
        <v>1.45401890301211</v>
      </c>
      <c r="S96" s="9"/>
      <c r="T96" s="9"/>
      <c r="U96" s="9"/>
      <c r="V96" s="9"/>
      <c r="W96" s="9"/>
      <c r="X96" s="9"/>
      <c r="Y96" s="9"/>
      <c r="Z96" s="9"/>
      <c r="AA96" s="9"/>
      <c r="AB96" s="129"/>
      <c r="AC96" s="18" t="s">
        <v>95</v>
      </c>
      <c r="AD96" s="133" t="str">
        <f t="shared" si="38"/>
        <v/>
      </c>
      <c r="AE96" s="133" t="str">
        <f t="shared" si="38"/>
        <v/>
      </c>
      <c r="AF96" s="133" t="str">
        <f t="shared" si="38"/>
        <v/>
      </c>
      <c r="AG96" s="133" t="str">
        <f t="shared" si="38"/>
        <v/>
      </c>
      <c r="AH96" s="133" t="str">
        <f t="shared" si="38"/>
        <v/>
      </c>
      <c r="AI96" s="155" t="str">
        <f t="shared" si="38"/>
        <v/>
      </c>
      <c r="AJ96" s="64"/>
    </row>
    <row r="97" spans="10:36" x14ac:dyDescent="0.15">
      <c r="J97" s="8"/>
      <c r="K97" s="218" t="s">
        <v>121</v>
      </c>
      <c r="L97" s="219">
        <f>IF((L48&gt;3)*L71,(L48-3),"")</f>
        <v>13</v>
      </c>
      <c r="M97" s="219" t="str">
        <f>IF((M48&gt;3)*M71,(M48-3),"")</f>
        <v/>
      </c>
      <c r="N97" s="219" t="str">
        <f>IF((N48&gt;3)*N71,(N48-3),"")</f>
        <v/>
      </c>
      <c r="O97" s="219" t="str">
        <f>IF((O48&gt;3)*O71,(O48-3),"")</f>
        <v/>
      </c>
      <c r="P97" s="219" t="str">
        <f>IF((P48&gt;3)*P71,(P48-3),"")</f>
        <v/>
      </c>
      <c r="Q97" s="219"/>
      <c r="S97" s="9"/>
      <c r="T97" s="9"/>
      <c r="U97" s="9"/>
      <c r="V97" s="9"/>
      <c r="W97" s="9"/>
      <c r="X97" s="9"/>
      <c r="Y97" s="9"/>
      <c r="Z97" s="9"/>
      <c r="AA97" s="9"/>
      <c r="AB97" s="129"/>
      <c r="AC97" s="157" t="s">
        <v>100</v>
      </c>
      <c r="AD97" s="83" t="str">
        <f t="shared" ref="AD97:AI97" si="40">IF(ISNUMBER(AD94),SQRT(AD96/AD95),"")</f>
        <v/>
      </c>
      <c r="AE97" s="83" t="str">
        <f t="shared" si="40"/>
        <v/>
      </c>
      <c r="AF97" s="83" t="str">
        <f t="shared" si="40"/>
        <v/>
      </c>
      <c r="AG97" s="83" t="str">
        <f t="shared" si="40"/>
        <v/>
      </c>
      <c r="AH97" s="83" t="str">
        <f t="shared" si="40"/>
        <v/>
      </c>
      <c r="AI97" s="86" t="str">
        <f t="shared" si="40"/>
        <v/>
      </c>
      <c r="AJ97" s="64"/>
    </row>
    <row r="98" spans="10:36" x14ac:dyDescent="0.15">
      <c r="J98" s="8"/>
      <c r="K98" s="79" t="s">
        <v>122</v>
      </c>
      <c r="L98" s="220">
        <f>IF(L$71*(L87&gt;0),(SUMPRODUCT(D$47:E$47,D$47:E$47,D$50:E$50)/SUM(D$50:E$50))-L60^2,"")</f>
        <v>88.451271409313762</v>
      </c>
      <c r="M98" s="220" t="str">
        <f>IF(M$71*(M87&gt;0),(SUMPRODUCT(E$47:F$47,E$47:F$47,E$50:F$50)/SUM(E$50:F$50))-M60^2,"")</f>
        <v/>
      </c>
      <c r="N98" s="220" t="str">
        <f>IF(N$71*(N87&gt;0),(SUMPRODUCT(F$47:G$47,F$47:G$47,F$50:G$50)/SUM(F$50:G$50))-N60^2,"")</f>
        <v/>
      </c>
      <c r="O98" s="220" t="str">
        <f>IF(O$71*(O87&gt;0),(SUMPRODUCT(G$47:H$47,G$47:H$47,G$50:H$50)/SUM(G$50:H$50))-O60^2,"")</f>
        <v/>
      </c>
      <c r="P98" s="220" t="str">
        <f>IF(P$71*(P87&gt;0),(SUMPRODUCT(H$47:I$47,H$47:I$47,H$50:I$50)/SUM(H$50:I$50))-P60^2,"")</f>
        <v/>
      </c>
      <c r="Q98" s="220" t="e">
        <f>IF(Q$71*(Q87&gt;0),J47^2-Q60^2,"")</f>
        <v>#REF!</v>
      </c>
      <c r="S98" s="9"/>
      <c r="T98" s="9"/>
      <c r="U98" s="9"/>
      <c r="V98" s="9"/>
      <c r="W98" s="9"/>
      <c r="X98" s="9"/>
      <c r="Y98" s="9"/>
      <c r="Z98" s="9"/>
      <c r="AA98" s="9"/>
      <c r="AB98" s="129"/>
      <c r="AC98" s="95" t="s">
        <v>102</v>
      </c>
      <c r="AD98" s="83" t="str">
        <f t="shared" ref="AD98:AI98" si="41">AD116</f>
        <v/>
      </c>
      <c r="AE98" s="83" t="str">
        <f t="shared" si="41"/>
        <v/>
      </c>
      <c r="AF98" s="83" t="str">
        <f t="shared" si="41"/>
        <v/>
      </c>
      <c r="AG98" s="83" t="str">
        <f t="shared" si="41"/>
        <v/>
      </c>
      <c r="AH98" s="83" t="str">
        <f t="shared" si="41"/>
        <v/>
      </c>
      <c r="AI98" s="86" t="str">
        <f t="shared" si="41"/>
        <v/>
      </c>
      <c r="AJ98" s="64"/>
    </row>
    <row r="99" spans="10:36" x14ac:dyDescent="0.15">
      <c r="J99" s="8"/>
      <c r="K99" s="79" t="s">
        <v>123</v>
      </c>
      <c r="L99" s="220">
        <f>IF(L$71*(L87&gt;0),SQRT(2*((SUMPRODUCT(D$47:E$47,D$47:E$47,D$50:E$50)/SUM(D$50:E$50))^2/L92-L60^4/L93)),"")</f>
        <v>34.96382633433781</v>
      </c>
      <c r="M99" s="220" t="str">
        <f>IF(M$71*(M87&gt;0),SQRT(2*((SUMPRODUCT(E$47:F$47,E$47:F$47,E$50:F$50)/SUM(E$50:F$50))^2/M92-M60^4/M93)),"")</f>
        <v/>
      </c>
      <c r="N99" s="220" t="str">
        <f>IF(N$71*(N87&gt;0),SQRT(2*((SUMPRODUCT(F$47:G$47,F$47:G$47,F$50:G$50)/SUM(F$50:G$50))^2/N92-N60^4/N93)),"")</f>
        <v/>
      </c>
      <c r="O99" s="220" t="str">
        <f>IF(O$71*(O87&gt;0),SQRT(2*((SUMPRODUCT(G$47:H$47,G$47:H$47,G$50:H$50)/SUM(G$50:H$50))^2/O92-O60^4/O93)),"")</f>
        <v/>
      </c>
      <c r="P99" s="220" t="str">
        <f>IF(P$71*(P87&gt;0),SQRT(2*((SUMPRODUCT(H$47:I$47,H$47:I$47,H$50:I$50)/SUM(H$50:I$50))^2/P92-P60^4/P93)),"")</f>
        <v/>
      </c>
      <c r="Q99" s="220" t="e">
        <f>IF(Q$71*(Q87&gt;0),SQRT(2*J47^4/Q92-Q60^4/Q93),"")</f>
        <v>#REF!</v>
      </c>
      <c r="S99" s="9"/>
      <c r="T99" s="9"/>
      <c r="U99" s="9"/>
      <c r="V99" s="9"/>
      <c r="W99" s="9"/>
      <c r="X99" s="9"/>
      <c r="Y99" s="9"/>
      <c r="Z99" s="9"/>
      <c r="AA99" s="9"/>
      <c r="AB99" s="221" t="s">
        <v>111</v>
      </c>
      <c r="AC99" s="222"/>
      <c r="AD99" s="223"/>
      <c r="AE99" s="223"/>
      <c r="AF99" s="223"/>
      <c r="AG99" s="223"/>
      <c r="AH99" s="223"/>
      <c r="AI99" s="224"/>
      <c r="AJ99" s="64"/>
    </row>
    <row r="100" spans="10:36" x14ac:dyDescent="0.15">
      <c r="J100" s="8"/>
      <c r="K100" s="79" t="s">
        <v>124</v>
      </c>
      <c r="L100" s="220">
        <f t="shared" ref="L100:Q100" si="42">IF(L$71*(L87&gt;0),L98+NORMSINV((100-$D$27)/100/2)*L99,"")</f>
        <v>19.923431032298566</v>
      </c>
      <c r="M100" s="220" t="str">
        <f t="shared" si="42"/>
        <v/>
      </c>
      <c r="N100" s="220" t="str">
        <f t="shared" si="42"/>
        <v/>
      </c>
      <c r="O100" s="220" t="str">
        <f t="shared" si="42"/>
        <v/>
      </c>
      <c r="P100" s="220" t="str">
        <f t="shared" si="42"/>
        <v/>
      </c>
      <c r="Q100" s="220" t="e">
        <f t="shared" si="42"/>
        <v>#REF!</v>
      </c>
      <c r="S100" s="9"/>
      <c r="T100" s="9"/>
      <c r="U100" s="9"/>
      <c r="V100" s="9"/>
      <c r="W100" s="9"/>
      <c r="X100" s="9"/>
      <c r="Y100" s="9"/>
      <c r="Z100" s="9"/>
      <c r="AA100" s="9"/>
      <c r="AB100" s="123"/>
      <c r="AC100" s="124" t="s">
        <v>112</v>
      </c>
      <c r="AD100" s="125" t="str">
        <f t="shared" ref="AD100:AH106" si="43">AD132</f>
        <v/>
      </c>
      <c r="AE100" s="125" t="str">
        <f t="shared" si="43"/>
        <v/>
      </c>
      <c r="AF100" s="125" t="str">
        <f t="shared" si="43"/>
        <v/>
      </c>
      <c r="AG100" s="125" t="str">
        <f t="shared" si="43"/>
        <v/>
      </c>
      <c r="AH100" s="125" t="str">
        <f t="shared" si="43"/>
        <v/>
      </c>
      <c r="AI100" s="140" t="str">
        <f>IF(ISNUMBER(AI$123),AI132,"")</f>
        <v/>
      </c>
      <c r="AJ100" s="64"/>
    </row>
    <row r="101" spans="10:36" x14ac:dyDescent="0.15">
      <c r="J101" s="8"/>
      <c r="K101" s="79" t="s">
        <v>125</v>
      </c>
      <c r="L101" s="220">
        <f t="shared" ref="L101:Q101" si="44">IF(L$71*(L87&gt;0),L98-NORMSINV((100-$D$27)/100/2)*L99,"")</f>
        <v>156.97911178632896</v>
      </c>
      <c r="M101" s="220" t="str">
        <f t="shared" si="44"/>
        <v/>
      </c>
      <c r="N101" s="220" t="str">
        <f t="shared" si="44"/>
        <v/>
      </c>
      <c r="O101" s="220" t="str">
        <f t="shared" si="44"/>
        <v/>
      </c>
      <c r="P101" s="220" t="str">
        <f t="shared" si="44"/>
        <v/>
      </c>
      <c r="Q101" s="220" t="e">
        <f t="shared" si="44"/>
        <v>#REF!</v>
      </c>
      <c r="S101" s="9"/>
      <c r="T101" s="9"/>
      <c r="U101" s="9"/>
      <c r="V101" s="9"/>
      <c r="W101" s="9"/>
      <c r="X101" s="9"/>
      <c r="Y101" s="9"/>
      <c r="Z101" s="9"/>
      <c r="AA101" s="9"/>
      <c r="AB101" s="129"/>
      <c r="AC101" s="18" t="s">
        <v>92</v>
      </c>
      <c r="AD101" s="119" t="str">
        <f t="shared" si="43"/>
        <v/>
      </c>
      <c r="AE101" s="119" t="str">
        <f t="shared" si="43"/>
        <v/>
      </c>
      <c r="AF101" s="119" t="str">
        <f t="shared" si="43"/>
        <v/>
      </c>
      <c r="AG101" s="119" t="str">
        <f t="shared" si="43"/>
        <v/>
      </c>
      <c r="AH101" s="119" t="str">
        <f t="shared" si="43"/>
        <v/>
      </c>
      <c r="AI101" s="213"/>
      <c r="AJ101" s="207"/>
    </row>
    <row r="102" spans="10:36" x14ac:dyDescent="0.15">
      <c r="S102" s="9"/>
      <c r="T102" s="9"/>
      <c r="U102" s="9"/>
      <c r="V102" s="9"/>
      <c r="W102" s="9"/>
      <c r="X102" s="9"/>
      <c r="Y102" s="9"/>
      <c r="Z102" s="9"/>
      <c r="AA102" s="9"/>
      <c r="AB102" s="129"/>
      <c r="AC102" s="18" t="s">
        <v>95</v>
      </c>
      <c r="AD102" s="133" t="str">
        <f t="shared" si="43"/>
        <v/>
      </c>
      <c r="AE102" s="133" t="str">
        <f t="shared" si="43"/>
        <v/>
      </c>
      <c r="AF102" s="133" t="str">
        <f t="shared" si="43"/>
        <v/>
      </c>
      <c r="AG102" s="133" t="str">
        <f t="shared" si="43"/>
        <v/>
      </c>
      <c r="AH102" s="133" t="str">
        <f t="shared" si="43"/>
        <v/>
      </c>
      <c r="AI102" s="213"/>
      <c r="AJ102" s="64"/>
    </row>
    <row r="103" spans="10:36" x14ac:dyDescent="0.15">
      <c r="S103" s="9"/>
      <c r="T103" s="9"/>
      <c r="U103" s="9"/>
      <c r="V103" s="9"/>
      <c r="W103" s="9"/>
      <c r="X103" s="9"/>
      <c r="Y103" s="9"/>
      <c r="Z103" s="9"/>
      <c r="AA103" s="9"/>
      <c r="AB103" s="129"/>
      <c r="AC103" s="18" t="s">
        <v>102</v>
      </c>
      <c r="AD103" s="83" t="str">
        <f t="shared" si="43"/>
        <v/>
      </c>
      <c r="AE103" s="83" t="str">
        <f t="shared" si="43"/>
        <v/>
      </c>
      <c r="AF103" s="83" t="str">
        <f t="shared" si="43"/>
        <v/>
      </c>
      <c r="AG103" s="83" t="str">
        <f t="shared" si="43"/>
        <v/>
      </c>
      <c r="AH103" s="83" t="str">
        <f t="shared" si="43"/>
        <v/>
      </c>
      <c r="AI103" s="213"/>
      <c r="AJ103" s="64"/>
    </row>
    <row r="104" spans="10:36" x14ac:dyDescent="0.15">
      <c r="S104" s="9"/>
      <c r="T104" s="9"/>
      <c r="U104" s="9"/>
      <c r="V104" s="9"/>
      <c r="W104" s="9"/>
      <c r="X104" s="9"/>
      <c r="Y104" s="9"/>
      <c r="Z104" s="9"/>
      <c r="AA104" s="9"/>
      <c r="AB104" s="129"/>
      <c r="AC104" s="124" t="s">
        <v>126</v>
      </c>
      <c r="AD104" s="125" t="str">
        <f t="shared" si="43"/>
        <v/>
      </c>
      <c r="AE104" s="125" t="str">
        <f t="shared" si="43"/>
        <v/>
      </c>
      <c r="AF104" s="125" t="str">
        <f t="shared" si="43"/>
        <v/>
      </c>
      <c r="AG104" s="125" t="str">
        <f t="shared" si="43"/>
        <v/>
      </c>
      <c r="AH104" s="125" t="str">
        <f t="shared" si="43"/>
        <v/>
      </c>
      <c r="AI104" s="140" t="str">
        <f>IF(ISERROR(AI136),"",AI136)</f>
        <v/>
      </c>
      <c r="AJ104" s="64"/>
    </row>
    <row r="105" spans="10:36" x14ac:dyDescent="0.15">
      <c r="S105" s="9"/>
      <c r="T105" s="9"/>
      <c r="U105" s="9"/>
      <c r="V105" s="9"/>
      <c r="W105" s="9"/>
      <c r="X105" s="9"/>
      <c r="Y105" s="9"/>
      <c r="Z105" s="9"/>
      <c r="AA105" s="9"/>
      <c r="AB105" s="129"/>
      <c r="AC105" s="18" t="s">
        <v>92</v>
      </c>
      <c r="AD105" s="119" t="str">
        <f t="shared" si="43"/>
        <v/>
      </c>
      <c r="AE105" s="119" t="str">
        <f t="shared" si="43"/>
        <v/>
      </c>
      <c r="AF105" s="119" t="str">
        <f t="shared" si="43"/>
        <v/>
      </c>
      <c r="AG105" s="119" t="str">
        <f t="shared" si="43"/>
        <v/>
      </c>
      <c r="AH105" s="119" t="str">
        <f t="shared" si="43"/>
        <v/>
      </c>
      <c r="AI105" s="150" t="str">
        <f>IF(ISERROR(AI137),"",AI137)</f>
        <v/>
      </c>
      <c r="AJ105" s="9"/>
    </row>
    <row r="106" spans="10:36" x14ac:dyDescent="0.15">
      <c r="S106" s="9"/>
      <c r="T106" s="9"/>
      <c r="U106" s="9"/>
      <c r="V106" s="9"/>
      <c r="W106" s="9"/>
      <c r="X106" s="9"/>
      <c r="Y106" s="9"/>
      <c r="Z106" s="9"/>
      <c r="AA106" s="9"/>
      <c r="AB106" s="225"/>
      <c r="AC106" s="95" t="s">
        <v>95</v>
      </c>
      <c r="AD106" s="210" t="str">
        <f t="shared" si="43"/>
        <v/>
      </c>
      <c r="AE106" s="210" t="str">
        <f t="shared" si="43"/>
        <v/>
      </c>
      <c r="AF106" s="210" t="str">
        <f t="shared" si="43"/>
        <v/>
      </c>
      <c r="AG106" s="210" t="str">
        <f t="shared" si="43"/>
        <v/>
      </c>
      <c r="AH106" s="210" t="str">
        <f t="shared" si="43"/>
        <v/>
      </c>
      <c r="AI106" s="211" t="str">
        <f>IF(ISERROR(AI138),"",AI138)</f>
        <v/>
      </c>
      <c r="AJ106" s="9"/>
    </row>
    <row r="107" spans="10:36" x14ac:dyDescent="0.15">
      <c r="S107" s="9"/>
      <c r="T107" s="9"/>
      <c r="U107" s="9"/>
      <c r="V107" s="9"/>
      <c r="W107" s="9"/>
      <c r="X107" s="9"/>
      <c r="Y107" s="9"/>
      <c r="Z107" s="9"/>
      <c r="AA107" s="9"/>
      <c r="AB107" s="9"/>
      <c r="AC107" s="9"/>
      <c r="AD107" s="9"/>
      <c r="AE107" s="9"/>
      <c r="AF107" s="9"/>
      <c r="AG107" s="9"/>
      <c r="AH107" s="9"/>
      <c r="AI107" s="9"/>
      <c r="AJ107" s="9"/>
    </row>
    <row r="108" spans="10:36" ht="14" x14ac:dyDescent="0.15">
      <c r="S108" s="9"/>
      <c r="T108" s="9"/>
      <c r="U108" s="9"/>
      <c r="V108" s="9"/>
      <c r="W108" s="9"/>
      <c r="X108" s="9"/>
      <c r="Y108" s="9"/>
      <c r="Z108" s="9"/>
      <c r="AA108" s="9"/>
      <c r="AB108" s="226" t="s">
        <v>127</v>
      </c>
      <c r="AC108" s="227"/>
      <c r="AD108" s="227"/>
      <c r="AE108" s="227"/>
      <c r="AF108" s="227"/>
      <c r="AG108" s="227"/>
      <c r="AH108" s="227"/>
      <c r="AI108" s="228"/>
      <c r="AJ108" s="9"/>
    </row>
    <row r="109" spans="10:36" ht="14" x14ac:dyDescent="0.15">
      <c r="S109" s="9"/>
      <c r="T109" s="9"/>
      <c r="U109" s="9"/>
      <c r="V109" s="9"/>
      <c r="W109" s="9"/>
      <c r="X109" s="9"/>
      <c r="Y109" s="9"/>
      <c r="Z109" s="9"/>
      <c r="AA109" s="9"/>
      <c r="AB109" s="33"/>
      <c r="AC109" s="33"/>
      <c r="AD109" s="229" t="str">
        <f>L29</f>
        <v>2-1</v>
      </c>
      <c r="AE109" s="229" t="str">
        <f>M29</f>
        <v>3-2</v>
      </c>
      <c r="AF109" s="229" t="str">
        <f>N29</f>
        <v>4-3</v>
      </c>
      <c r="AG109" s="229" t="str">
        <f>O29</f>
        <v>5-4</v>
      </c>
      <c r="AH109" s="229" t="str">
        <f>P29</f>
        <v>6-5</v>
      </c>
      <c r="AI109" s="43" t="s">
        <v>51</v>
      </c>
      <c r="AJ109" s="9"/>
    </row>
    <row r="110" spans="10:36" x14ac:dyDescent="0.15">
      <c r="S110" s="9"/>
      <c r="T110" s="9"/>
      <c r="U110" s="9"/>
      <c r="V110" s="9"/>
      <c r="W110" s="9"/>
      <c r="X110" s="9"/>
      <c r="Y110" s="9"/>
      <c r="Z110" s="9"/>
      <c r="AA110" s="9"/>
      <c r="AB110" s="230"/>
      <c r="AC110" s="231" t="s">
        <v>89</v>
      </c>
      <c r="AD110" s="232" t="str">
        <f>IF(AD123,AD46,"")</f>
        <v/>
      </c>
      <c r="AE110" s="232" t="str">
        <f>IF(AE123,AE46,"")</f>
        <v/>
      </c>
      <c r="AF110" s="232" t="str">
        <f>IF(AF123,AF46,"")</f>
        <v/>
      </c>
      <c r="AG110" s="232" t="str">
        <f>IF(AG123,AG46,"")</f>
        <v/>
      </c>
      <c r="AH110" s="232" t="str">
        <f>IF(AH123,AH46,"")</f>
        <v/>
      </c>
      <c r="AI110" s="232"/>
      <c r="AJ110" s="9"/>
    </row>
    <row r="111" spans="10:36" x14ac:dyDescent="0.15">
      <c r="AB111" s="65"/>
      <c r="AC111" s="56" t="s">
        <v>92</v>
      </c>
      <c r="AD111" s="233" t="str">
        <f>IF(AD123,AD110-TINV(1-$D$27/100,AD123)*AD47/SQRT(AD48),"")</f>
        <v/>
      </c>
      <c r="AE111" s="233" t="str">
        <f>IF(AE123,AE110-TINV(1-$D$27/100,AE123)*AE47/SQRT(AE48),"")</f>
        <v/>
      </c>
      <c r="AF111" s="233" t="str">
        <f>IF(AF123,AF110-TINV(1-$D$27/100,AF123)*AF47/SQRT(AF48),"")</f>
        <v/>
      </c>
      <c r="AG111" s="233" t="str">
        <f>IF(AG123,AG110-TINV(1-$D$27/100,AG123)*AG47/SQRT(AG48),"")</f>
        <v/>
      </c>
      <c r="AH111" s="233" t="str">
        <f>IF(AH123,AH110-TINV(1-$D$27/100,AH123)*AH47/SQRT(AH48),"")</f>
        <v/>
      </c>
      <c r="AI111" s="58"/>
    </row>
    <row r="112" spans="10:36" x14ac:dyDescent="0.15">
      <c r="AB112" s="65"/>
      <c r="AC112" s="56" t="s">
        <v>95</v>
      </c>
      <c r="AD112" s="234" t="str">
        <f>IF(AD123,AD110+TINV(1-$D$27/100,AD123)*AD47/SQRT(AD48),"")</f>
        <v/>
      </c>
      <c r="AE112" s="234" t="str">
        <f>IF(AE123,AE110+TINV(1-$D$27/100,AE123)*AE47/SQRT(AE48),"")</f>
        <v/>
      </c>
      <c r="AF112" s="234" t="str">
        <f>IF(AF123,AF110+TINV(1-$D$27/100,AF123)*AF47/SQRT(AF48),"")</f>
        <v/>
      </c>
      <c r="AG112" s="234" t="str">
        <f>IF(AG123,AG110+TINV(1-$D$27/100,AG123)*AG47/SQRT(AG48),"")</f>
        <v/>
      </c>
      <c r="AH112" s="234" t="str">
        <f>IF(AH123,AH110+TINV(1-$D$27/100,AH123)*AH47/SQRT(AH48),"")</f>
        <v/>
      </c>
      <c r="AI112" s="58"/>
    </row>
    <row r="113" spans="28:35" x14ac:dyDescent="0.15">
      <c r="AB113" s="230"/>
      <c r="AC113" s="231" t="s">
        <v>97</v>
      </c>
      <c r="AD113" s="232" t="str">
        <f>IF(AD123,STDEV(#REF!)/SQRT(2),"")</f>
        <v/>
      </c>
      <c r="AE113" s="232" t="str">
        <f>IF(AE123,STDEV(#REF!)/SQRT(2),"")</f>
        <v/>
      </c>
      <c r="AF113" s="232" t="str">
        <f>IF(AF123,STDEV(#REF!)/SQRT(2),"")</f>
        <v/>
      </c>
      <c r="AG113" s="232" t="str">
        <f>IF(AG123,STDEV(#REF!)/SQRT(2),"")</f>
        <v/>
      </c>
      <c r="AH113" s="232" t="str">
        <f>IF(AH123,STDEV(#REF!)/SQRT(2),"")</f>
        <v/>
      </c>
      <c r="AI113" s="232" t="e">
        <f>IF(AI123,SQRT(SUMPRODUCT(AD113:AH113,AD113:AH113,AD123:AH123)/SUM(AD123:AH123)),"")</f>
        <v>#REF!</v>
      </c>
    </row>
    <row r="114" spans="28:35" x14ac:dyDescent="0.15">
      <c r="AB114" s="65"/>
      <c r="AC114" s="56" t="s">
        <v>92</v>
      </c>
      <c r="AD114" s="233" t="str">
        <f>IF(AD123,SQRT(AD123*AD113^2/CHIINV((1-$D$27/100)/2,AD123)),"")</f>
        <v/>
      </c>
      <c r="AE114" s="233" t="str">
        <f>IF(AE123,SQRT(AE123*AE113^2/CHIINV((1-$D$27/100)/2,AE123)),"")</f>
        <v/>
      </c>
      <c r="AF114" s="233" t="str">
        <f>IF(AF123,SQRT(AF123*AF113^2/CHIINV((1-$D$27/100)/2,AF123)),"")</f>
        <v/>
      </c>
      <c r="AG114" s="233" t="str">
        <f>IF(AG123,SQRT(AG123*AG113^2/CHIINV((1-$D$27/100)/2,AG123)),"")</f>
        <v/>
      </c>
      <c r="AH114" s="233" t="str">
        <f>IF(AH123,SQRT(AH123*AH113^2/CHIINV((1-$D$27/100)/2,AH123)),"")</f>
        <v/>
      </c>
      <c r="AI114" s="233" t="e">
        <f>SQRT(AI123*AI113^2/CHIINV((1-$D$27/100)/2,AI123))</f>
        <v>#REF!</v>
      </c>
    </row>
    <row r="115" spans="28:35" x14ac:dyDescent="0.15">
      <c r="AB115" s="65"/>
      <c r="AC115" s="56" t="s">
        <v>95</v>
      </c>
      <c r="AD115" s="234" t="str">
        <f>IF(AD123,SQRT(AD123*AD113^2/CHIINV(1-(1-$D$27/100)/2,AD123)),"")</f>
        <v/>
      </c>
      <c r="AE115" s="234" t="str">
        <f>IF(AE123,SQRT(AE123*AE113^2/CHIINV(1-(1-$D$27/100)/2,AE123)),"")</f>
        <v/>
      </c>
      <c r="AF115" s="234" t="str">
        <f>IF(AF123,SQRT(AF123*AF113^2/CHIINV(1-(1-$D$27/100)/2,AF123)),"")</f>
        <v/>
      </c>
      <c r="AG115" s="234" t="str">
        <f>IF(AG123,SQRT(AG123*AG113^2/CHIINV(1-(1-$D$27/100)/2,AG123)),"")</f>
        <v/>
      </c>
      <c r="AH115" s="234" t="str">
        <f>IF(AH123,SQRT(AH123*AH113^2/CHIINV(1-(1-$D$27/100)/2,AH123)),"")</f>
        <v/>
      </c>
      <c r="AI115" s="234" t="e">
        <f>SQRT(AI123*AI113^2/CHIINV(1-(1-$D$27/100)/2,AI123))</f>
        <v>#REF!</v>
      </c>
    </row>
    <row r="116" spans="28:35" x14ac:dyDescent="0.15">
      <c r="AB116" s="9"/>
      <c r="AC116" s="56" t="s">
        <v>102</v>
      </c>
      <c r="AD116" s="57" t="str">
        <f>IF(AD123,1+1/(4*AD123),"")</f>
        <v/>
      </c>
      <c r="AE116" s="57" t="str">
        <f>IF(AE123,1+1/(4*AE123),"")</f>
        <v/>
      </c>
      <c r="AF116" s="57" t="str">
        <f>IF(AF123,1+1/(4*AF123),"")</f>
        <v/>
      </c>
      <c r="AG116" s="57" t="str">
        <f>IF(AG123,1+1/(4*AG123),"")</f>
        <v/>
      </c>
      <c r="AH116" s="57" t="str">
        <f>IF(AH123,1+1/(4*AH123),"")</f>
        <v/>
      </c>
      <c r="AI116" s="57" t="str">
        <f>IF(ISNUMBER(AI123),1+1/(4*AI123),"")</f>
        <v/>
      </c>
    </row>
    <row r="117" spans="28:35" x14ac:dyDescent="0.15">
      <c r="AB117" s="9"/>
      <c r="AC117" s="231" t="s">
        <v>128</v>
      </c>
      <c r="AD117" s="58" t="str">
        <f t="shared" ref="AD117:AI117" si="45">IF(AD$123*(AD136&gt;0),$D$26*SQRT(AD147),"")</f>
        <v/>
      </c>
      <c r="AE117" s="58" t="str">
        <f t="shared" si="45"/>
        <v/>
      </c>
      <c r="AF117" s="58" t="str">
        <f t="shared" si="45"/>
        <v/>
      </c>
      <c r="AG117" s="58" t="str">
        <f t="shared" si="45"/>
        <v/>
      </c>
      <c r="AH117" s="58" t="str">
        <f t="shared" si="45"/>
        <v/>
      </c>
      <c r="AI117" s="58" t="e">
        <f t="shared" si="45"/>
        <v>#REF!</v>
      </c>
    </row>
    <row r="118" spans="28:35" x14ac:dyDescent="0.15">
      <c r="AB118" s="9"/>
      <c r="AC118" s="56" t="s">
        <v>92</v>
      </c>
      <c r="AD118" s="233" t="str">
        <f>IF(AD$123*(AD136&gt;0),0.2*(IF(AD149&gt;0,SQRT(AD149),-SQRT(-AD149))),"")</f>
        <v/>
      </c>
      <c r="AE118" s="233" t="str">
        <f>IF(AE$123*(AE136&gt;0),0.2*(IF(AE149&gt;0,SQRT(AE149),-SQRT(-AE149))),"")</f>
        <v/>
      </c>
      <c r="AF118" s="233" t="str">
        <f>IF(AF$123*(AF136&gt;0),0.2*(IF(AF149&gt;0,SQRT(AF149),-SQRT(-AF149))),"")</f>
        <v/>
      </c>
      <c r="AG118" s="233" t="str">
        <f>IF(AG$123*(AG136&gt;0),0.2*(IF(AG149&gt;0,SQRT(AG149),-SQRT(-AG149))),"")</f>
        <v/>
      </c>
      <c r="AH118" s="233" t="str">
        <f>IF(AH$123*(AH136&gt;0),0.2*(IF(AH149&gt;0,SQRT(AH149),-SQRT(-AH149))),"")</f>
        <v/>
      </c>
      <c r="AI118" s="233" t="e">
        <f>IF(AI$123*(AI136&gt;0),0.2*IF(AI149&gt;0,SQRT(AI149),-SQRT(-AI149)),"")</f>
        <v>#REF!</v>
      </c>
    </row>
    <row r="119" spans="28:35" x14ac:dyDescent="0.15">
      <c r="AB119" s="9"/>
      <c r="AC119" s="56" t="s">
        <v>95</v>
      </c>
      <c r="AD119" s="235" t="str">
        <f t="shared" ref="AD119:AI119" si="46">IF(AD$123*(AD136&gt;0),0.2*SQRT(AD150),"")</f>
        <v/>
      </c>
      <c r="AE119" s="235" t="str">
        <f t="shared" si="46"/>
        <v/>
      </c>
      <c r="AF119" s="235" t="str">
        <f t="shared" si="46"/>
        <v/>
      </c>
      <c r="AG119" s="235" t="str">
        <f t="shared" si="46"/>
        <v/>
      </c>
      <c r="AH119" s="235" t="str">
        <f t="shared" si="46"/>
        <v/>
      </c>
      <c r="AI119" s="235" t="e">
        <f t="shared" si="46"/>
        <v>#REF!</v>
      </c>
    </row>
    <row r="120" spans="28:35" x14ac:dyDescent="0.15">
      <c r="AB120" s="9"/>
      <c r="AC120" s="231" t="s">
        <v>129</v>
      </c>
      <c r="AD120" s="58" t="str">
        <f>IF(AD$123,$D$26*SQRT(SUMPRODUCT(V$47:W$47,V$47:W$47,V$50:W$50)/SUM(V$50:W$50)),"")</f>
        <v/>
      </c>
      <c r="AE120" s="58" t="str">
        <f>IF(AE$123,$D$26*SQRT(SUMPRODUCT(W$47:X$47,W$47:X$47,W$50:X$50)/SUM(W$50:X$50)),"")</f>
        <v/>
      </c>
      <c r="AF120" s="58" t="str">
        <f>IF(AF$123,$D$26*SQRT(SUMPRODUCT(X$47:Y$47,X$47:Y$47,X$50:Y$50)/SUM(X$50:Y$50)),"")</f>
        <v/>
      </c>
      <c r="AG120" s="58" t="str">
        <f>IF(AG$123,$D$26*SQRT(SUMPRODUCT(Y$47:Z$47,Y$47:Z$47,Y$50:Z$50)/SUM(Y$50:Z$50)),"")</f>
        <v/>
      </c>
      <c r="AH120" s="58" t="str">
        <f>IF(AH$123,$D$26*SQRT(SUMPRODUCT(Z$47:AA$47,Z$47:AA$47,Z$50:AA$50)/SUM(Z$50:AA$50)),"")</f>
        <v/>
      </c>
      <c r="AI120" s="58" t="e">
        <f>$D$26*AB47</f>
        <v>#DIV/0!</v>
      </c>
    </row>
    <row r="121" spans="28:35" x14ac:dyDescent="0.15">
      <c r="AB121" s="9"/>
      <c r="AC121" s="56" t="s">
        <v>92</v>
      </c>
      <c r="AD121" s="233" t="str">
        <f t="shared" ref="AD121:AI121" si="47">IF(AD123,SQRT(AD141*AD120^2/CHIINV((1-$D$27/100)/2,AD141)),"")</f>
        <v/>
      </c>
      <c r="AE121" s="233" t="str">
        <f t="shared" si="47"/>
        <v/>
      </c>
      <c r="AF121" s="233" t="str">
        <f t="shared" si="47"/>
        <v/>
      </c>
      <c r="AG121" s="233" t="str">
        <f t="shared" si="47"/>
        <v/>
      </c>
      <c r="AH121" s="233" t="str">
        <f t="shared" si="47"/>
        <v/>
      </c>
      <c r="AI121" s="233" t="e">
        <f t="shared" si="47"/>
        <v>#REF!</v>
      </c>
    </row>
    <row r="122" spans="28:35" x14ac:dyDescent="0.15">
      <c r="AB122" s="9"/>
      <c r="AC122" s="56" t="s">
        <v>95</v>
      </c>
      <c r="AD122" s="235" t="str">
        <f t="shared" ref="AD122:AI122" si="48">IF(AD123,SQRT(AD141*AD120^2/CHIINV(1-(1-$D$27/100)/2,AD141)),"")</f>
        <v/>
      </c>
      <c r="AE122" s="235" t="str">
        <f t="shared" si="48"/>
        <v/>
      </c>
      <c r="AF122" s="235" t="str">
        <f t="shared" si="48"/>
        <v/>
      </c>
      <c r="AG122" s="235" t="str">
        <f t="shared" si="48"/>
        <v/>
      </c>
      <c r="AH122" s="235" t="str">
        <f t="shared" si="48"/>
        <v/>
      </c>
      <c r="AI122" s="235" t="e">
        <f t="shared" si="48"/>
        <v>#REF!</v>
      </c>
    </row>
    <row r="123" spans="28:35" x14ac:dyDescent="0.15">
      <c r="AB123" s="230"/>
      <c r="AC123" s="170" t="s">
        <v>75</v>
      </c>
      <c r="AD123" s="71">
        <f>IF(AND(V48&gt;0,W48&gt;0,ISNUMBER(V46),ISNUMBER(W46)),AD48-1,0)</f>
        <v>0</v>
      </c>
      <c r="AE123" s="71">
        <f>IF(AND(W48&gt;0,X48&gt;0,ISNUMBER(W46),ISNUMBER(X46)),AE48-1,0)</f>
        <v>0</v>
      </c>
      <c r="AF123" s="71">
        <f>IF(AND(X48&gt;0,Y48&gt;0,ISNUMBER(X46),ISNUMBER(Y46)),AF48-1,0)</f>
        <v>0</v>
      </c>
      <c r="AG123" s="71">
        <f>IF(AND(Y48&gt;0,Z48&gt;0,ISNUMBER(Y46),ISNUMBER(Z46)),AG48-1,0)</f>
        <v>0</v>
      </c>
      <c r="AH123" s="71">
        <f>IF(AND(Z48&gt;0,AA48&gt;0,ISNUMBER(Z46),ISNUMBER(AA46)),AH48-1,0)</f>
        <v>0</v>
      </c>
      <c r="AI123" s="71" t="e">
        <f>IF(COUNTIF(AD123:AH123,"&gt;0")=1,SUM(AD123:AH123),(1-0.22*SUM(V48:AA48)/(COUNTIF(V48:AA48,"&gt;0")*AJ46))*SUM(AD72:AH72))</f>
        <v>#REF!</v>
      </c>
    </row>
    <row r="124" spans="28:35" x14ac:dyDescent="0.15">
      <c r="AB124" s="65"/>
      <c r="AC124" s="170"/>
      <c r="AD124" s="57"/>
      <c r="AE124" s="57"/>
      <c r="AF124" s="57"/>
      <c r="AG124" s="57"/>
      <c r="AH124" s="57"/>
      <c r="AI124" s="236"/>
    </row>
    <row r="125" spans="28:35" x14ac:dyDescent="0.15">
      <c r="AB125" s="65"/>
      <c r="AC125" s="231" t="s">
        <v>130</v>
      </c>
      <c r="AD125" s="57" t="str">
        <f>IF(AD$123*(AD136&gt;0),AD110/SQRT((SUMPRODUCT(V$47:W$47,V$47:W$47,V$50:W$50)/SUM(V$50:W$50))-AD113^2),"")</f>
        <v/>
      </c>
      <c r="AE125" s="57" t="str">
        <f>IF(AE$123*(AE136&gt;0),AE110/SQRT((SUMPRODUCT(W$47:X$47,W$47:X$47,W$50:X$50)/SUM(W$50:X$50))-AE113^2),"")</f>
        <v/>
      </c>
      <c r="AF125" s="57" t="str">
        <f>IF(AF$123*(AF136&gt;0),AF110/SQRT((SUMPRODUCT(X$47:Y$47,X$47:Y$47,X$50:Y$50)/SUM(X$50:Y$50))-AF113^2),"")</f>
        <v/>
      </c>
      <c r="AG125" s="57" t="str">
        <f>IF(AG$123*(AG136&gt;0),AG110/SQRT((SUMPRODUCT(Y$47:Z$47,Y$47:Z$47,Y$50:Z$50)/SUM(Y$50:Z$50))-AG113^2),"")</f>
        <v/>
      </c>
      <c r="AH125" s="57" t="str">
        <f>IF(AH$123*(AH136&gt;0),AH110/SQRT((SUMPRODUCT(Z$47:AA$47,Z$47:AA$47,Z$50:AA$50)/SUM(Z$50:AA$50))-AH113^2),"")</f>
        <v/>
      </c>
      <c r="AI125" s="236"/>
    </row>
    <row r="126" spans="28:35" x14ac:dyDescent="0.15">
      <c r="AB126" s="65"/>
      <c r="AC126" s="56" t="s">
        <v>92</v>
      </c>
      <c r="AD126" s="237" t="str">
        <f>IF(AD$123*(AD136&gt;0),AD111/SQRT((SUMPRODUCT(V$47:W$47,V$47:W$47,V$50:W$50)/SUM(V$50:W$50))-AD113^2),"")</f>
        <v/>
      </c>
      <c r="AE126" s="237" t="str">
        <f>IF(AE$123*(AE136&gt;0),AE111/SQRT((SUMPRODUCT(W$47:X$47,W$47:X$47,W$50:X$50)/SUM(W$50:X$50))-AE113^2),"")</f>
        <v/>
      </c>
      <c r="AF126" s="237" t="str">
        <f>IF(AF$123*(AF136&gt;0),AF111/SQRT((SUMPRODUCT(X$47:Y$47,X$47:Y$47,X$50:Y$50)/SUM(X$50:Y$50))-AF113^2),"")</f>
        <v/>
      </c>
      <c r="AG126" s="237" t="str">
        <f>IF(AG$123*(AG136&gt;0),AG111/SQRT((SUMPRODUCT(Y$47:Z$47,Y$47:Z$47,Y$50:Z$50)/SUM(Y$50:Z$50))-AG113^2),"")</f>
        <v/>
      </c>
      <c r="AH126" s="237" t="str">
        <f>IF(AH$123*(AH136&gt;0),AH111/SQRT((SUMPRODUCT(Z$47:AA$47,Z$47:AA$47,Z$50:AA$50)/SUM(Z$50:AA$50))-AH113^2),"")</f>
        <v/>
      </c>
      <c r="AI126" s="236"/>
    </row>
    <row r="127" spans="28:35" x14ac:dyDescent="0.15">
      <c r="AB127" s="65"/>
      <c r="AC127" s="56" t="s">
        <v>95</v>
      </c>
      <c r="AD127" s="170" t="str">
        <f>IF(AD$123*(AD136&gt;0),AD112/SQRT((SUMPRODUCT(V$47:W$47,V$47:W$47,V$50:W$50)/SUM(V$50:W$50))-AD113^2),"")</f>
        <v/>
      </c>
      <c r="AE127" s="170" t="str">
        <f>IF(AE$123*(AE136&gt;0),AE112/SQRT((SUMPRODUCT(W$47:X$47,W$47:X$47,W$50:X$50)/SUM(W$50:X$50))-AE113^2),"")</f>
        <v/>
      </c>
      <c r="AF127" s="170" t="str">
        <f>IF(AF$123*(AF136&gt;0),AF112/SQRT((SUMPRODUCT(X$47:Y$47,X$47:Y$47,X$50:Y$50)/SUM(X$50:Y$50))-AF113^2),"")</f>
        <v/>
      </c>
      <c r="AG127" s="170" t="str">
        <f>IF(AG$123*(AG136&gt;0),AG112/SQRT((SUMPRODUCT(Y$47:Z$47,Y$47:Z$47,Y$50:Z$50)/SUM(Y$50:Z$50))-AG113^2),"")</f>
        <v/>
      </c>
      <c r="AH127" s="170" t="str">
        <f>IF(AH$123*(AH136&gt;0),AH112/SQRT((SUMPRODUCT(Z$47:AA$47,Z$47:AA$47,Z$50:AA$50)/SUM(Z$50:AA$50))-AH113^2),"")</f>
        <v/>
      </c>
      <c r="AI127" s="236"/>
    </row>
    <row r="128" spans="28:35" x14ac:dyDescent="0.15">
      <c r="AB128" s="65"/>
      <c r="AC128" s="231" t="s">
        <v>131</v>
      </c>
      <c r="AD128" s="57" t="str">
        <f>IF(AD$123*(AD136&gt;0),AD113/SQRT((SUMPRODUCT(V$47:W$47,V$47:W$47,V$50:W$50)/SUM(V$50:W$50))-AD113^2),"")</f>
        <v/>
      </c>
      <c r="AE128" s="57" t="str">
        <f>IF(AE$123*(AE136&gt;0),AE113/SQRT((SUMPRODUCT(W$47:X$47,W$47:X$47,W$50:X$50)/SUM(W$50:X$50))-AE113^2),"")</f>
        <v/>
      </c>
      <c r="AF128" s="57" t="str">
        <f>IF(AF$123*(AF136&gt;0),AF113/SQRT((SUMPRODUCT(X$47:Y$47,X$47:Y$47,X$50:Y$50)/SUM(X$50:Y$50))-AF113^2),"")</f>
        <v/>
      </c>
      <c r="AG128" s="57" t="str">
        <f>IF(AG$123*(AG136&gt;0),AG113/SQRT((SUMPRODUCT(Y$47:Z$47,Y$47:Z$47,Y$50:Z$50)/SUM(Y$50:Z$50))-AG113^2),"")</f>
        <v/>
      </c>
      <c r="AH128" s="57" t="str">
        <f>IF(AH$123*(AH136&gt;0),AH113/SQRT((SUMPRODUCT(Z$47:AA$47,Z$47:AA$47,Z$50:AA$50)/SUM(Z$50:AA$50))-AH113^2),"")</f>
        <v/>
      </c>
      <c r="AI128" s="57" t="str">
        <f>IF(ISNUMBER(AI$123),AI113/SQRT(AB$47^2),"")</f>
        <v/>
      </c>
    </row>
    <row r="129" spans="28:35" x14ac:dyDescent="0.15">
      <c r="AB129" s="65"/>
      <c r="AC129" s="56" t="s">
        <v>92</v>
      </c>
      <c r="AD129" s="237" t="str">
        <f>IF(AD$123*(AD136&gt;0),AD114/SQRT((SUMPRODUCT(V$47:W$47,V$47:W$47,V$50:W$50)/SUM(V$50:W$50))-AD113^2),"")</f>
        <v/>
      </c>
      <c r="AE129" s="237" t="str">
        <f>IF(AE$123*(AE136&gt;0),AE114/SQRT((SUMPRODUCT(W$47:X$47,W$47:X$47,W$50:X$50)/SUM(W$50:X$50))-AE113^2),"")</f>
        <v/>
      </c>
      <c r="AF129" s="237" t="str">
        <f>IF(AF$123*(AF136&gt;0),AF114/SQRT((SUMPRODUCT(X$47:Y$47,X$47:Y$47,X$50:Y$50)/SUM(X$50:Y$50))-AF113^2),"")</f>
        <v/>
      </c>
      <c r="AG129" s="237" t="str">
        <f>IF(AG$123*(AG136&gt;0),AG114/SQRT((SUMPRODUCT(Y$47:Z$47,Y$47:Z$47,Y$50:Z$50)/SUM(Y$50:Z$50))-AG113^2),"")</f>
        <v/>
      </c>
      <c r="AH129" s="237" t="str">
        <f>IF(AH$123*(AH136&gt;0),AH114/SQRT((SUMPRODUCT(Z$47:AA$47,Z$47:AA$47,Z$50:AA$50)/SUM(Z$50:AA$50))-AH113^2),"")</f>
        <v/>
      </c>
      <c r="AI129" s="237" t="str">
        <f>IF(ISNUMBER(AI$123),AI114/SQRT(AB$47^2),"")</f>
        <v/>
      </c>
    </row>
    <row r="130" spans="28:35" x14ac:dyDescent="0.15">
      <c r="AB130" s="65"/>
      <c r="AC130" s="56" t="s">
        <v>95</v>
      </c>
      <c r="AD130" s="170" t="str">
        <f>IF(AD$123*(AD136&gt;0),AD115/SQRT((SUMPRODUCT(V$47:W$47,V$47:W$47,V$50:W$50)/SUM(V$50:W$50))-AD113^2),"")</f>
        <v/>
      </c>
      <c r="AE130" s="170" t="str">
        <f>IF(AE$123*(AE136&gt;0),AE115/SQRT((SUMPRODUCT(W$47:X$47,W$47:X$47,W$50:X$50)/SUM(W$50:X$50))-AE113^2),"")</f>
        <v/>
      </c>
      <c r="AF130" s="170" t="str">
        <f>IF(AF$123*(AF136&gt;0),AF115/SQRT((SUMPRODUCT(X$47:Y$47,X$47:Y$47,X$50:Y$50)/SUM(X$50:Y$50))-AF113^2),"")</f>
        <v/>
      </c>
      <c r="AG130" s="170" t="str">
        <f>IF(AG$123*(AG136&gt;0),AG115/SQRT((SUMPRODUCT(Y$47:Z$47,Y$47:Z$47,Y$50:Z$50)/SUM(Y$50:Z$50))-AG113^2),"")</f>
        <v/>
      </c>
      <c r="AH130" s="170" t="str">
        <f>IF(AH$123*(AH136&gt;0),AH115/SQRT((SUMPRODUCT(Z$47:AA$47,Z$47:AA$47,Z$50:AA$50)/SUM(Z$50:AA$50))-AH113^2),"")</f>
        <v/>
      </c>
      <c r="AI130" s="170" t="str">
        <f>IF(ISNUMBER(AI$123),AI115/SQRT(AB$47^2),"")</f>
        <v/>
      </c>
    </row>
    <row r="131" spans="28:35" x14ac:dyDescent="0.15">
      <c r="AB131" s="65"/>
      <c r="AC131" s="65"/>
      <c r="AD131" s="65"/>
      <c r="AE131" s="65"/>
      <c r="AF131" s="65"/>
      <c r="AG131" s="65"/>
      <c r="AH131" s="65"/>
      <c r="AI131" s="65"/>
    </row>
    <row r="132" spans="28:35" x14ac:dyDescent="0.15">
      <c r="AB132" s="230"/>
      <c r="AC132" s="231" t="s">
        <v>132</v>
      </c>
      <c r="AD132" s="238" t="str">
        <f>IF(AD123&gt;1,CORREL(#REF!,#REF!)*(1+(1-CORREL(#REF!,#REF!)^2)/2/(L48-3)),"")</f>
        <v/>
      </c>
      <c r="AE132" s="238" t="str">
        <f>IF(AE123&gt;1,CORREL(#REF!,#REF!)*(1+(1-CORREL(#REF!,#REF!)^2)/2/(M48-3)),"")</f>
        <v/>
      </c>
      <c r="AF132" s="238" t="str">
        <f>IF(AF123&gt;1,CORREL(#REF!,#REF!)*(1+(1-CORREL(#REF!,#REF!)^2)/2/(N48-3)),"")</f>
        <v/>
      </c>
      <c r="AG132" s="238" t="str">
        <f>IF(AG123&gt;1,CORREL(#REF!,#REF!)*(1+(1-CORREL(#REF!,#REF!)^2)/2/(O48-3)),"")</f>
        <v/>
      </c>
      <c r="AH132" s="238" t="str">
        <f>IF(AH123&gt;1,CORREL(#REF!,#REF!)*(1+(1-CORREL(#REF!,#REF!)^2)/2/(P48-3)),"")</f>
        <v/>
      </c>
      <c r="AI132" s="238" t="e">
        <f>FISHERINV(AI145)</f>
        <v>#DIV/0!</v>
      </c>
    </row>
    <row r="133" spans="28:35" x14ac:dyDescent="0.15">
      <c r="AB133" s="65"/>
      <c r="AC133" s="56" t="s">
        <v>92</v>
      </c>
      <c r="AD133" s="237" t="str">
        <f>IF(AD123&gt;2,(EXP(2*(0.5*LN((1+AD132)/(1-AD132))-NORMINV(1-(1-$D$27/100)/2,0,1)/SQRT(COUNT(#REF!)-3)))-1)/(EXP(2*(0.5*LN((1+AD132)/(1-AD132))-NORMINV(1-(1-$D$27/100)/2,0,1)/SQRT(COUNT(#REF!)-3)))+1),"")</f>
        <v/>
      </c>
      <c r="AE133" s="237" t="str">
        <f>IF(AE123&gt;2,(EXP(2*(0.5*LN((1+AE132)/(1-AE132))-NORMINV(1-(1-$D$27/100)/2,0,1)/SQRT(COUNT(#REF!)-3)))-1)/(EXP(2*(0.5*LN((1+AE132)/(1-AE132))-NORMINV(1-(1-$D$27/100)/2,0,1)/SQRT(COUNT(#REF!)-3)))+1),"")</f>
        <v/>
      </c>
      <c r="AF133" s="237" t="str">
        <f>IF(AF123&gt;2,(EXP(2*(0.5*LN((1+AF132)/(1-AF132))-NORMINV(1-(1-$D$27/100)/2,0,1)/SQRT(COUNT(#REF!)-3)))-1)/(EXP(2*(0.5*LN((1+AF132)/(1-AF132))-NORMINV(1-(1-$D$27/100)/2,0,1)/SQRT(COUNT(#REF!)-3)))+1),"")</f>
        <v/>
      </c>
      <c r="AG133" s="237" t="str">
        <f>IF(AG123&gt;2,(EXP(2*(0.5*LN((1+AG132)/(1-AG132))-NORMINV(1-(1-$D$27/100)/2,0,1)/SQRT(COUNT(#REF!)-3)))-1)/(EXP(2*(0.5*LN((1+AG132)/(1-AG132))-NORMINV(1-(1-$D$27/100)/2,0,1)/SQRT(COUNT(#REF!)-3)))+1),"")</f>
        <v/>
      </c>
      <c r="AH133" s="237" t="str">
        <f>IF(AH123&gt;2,(EXP(2*(0.5*LN((1+AH132)/(1-AH132))-NORMINV(1-(1-$D$27/100)/2,0,1)/SQRT(COUNT(#REF!)-3)))-1)/(EXP(2*(0.5*LN((1+AH132)/(1-AH132))-NORMINV(1-(1-$D$27/100)/2,0,1)/SQRT(COUNT(#REF!)-3)))+1),"")</f>
        <v/>
      </c>
      <c r="AI133" s="170"/>
    </row>
    <row r="134" spans="28:35" x14ac:dyDescent="0.15">
      <c r="AB134" s="65"/>
      <c r="AC134" s="56" t="s">
        <v>95</v>
      </c>
      <c r="AD134" s="236" t="str">
        <f>IF(AD123&gt;2,(EXP(2*(0.5*LN((1+AD132)/(1-AD132))+NORMINV(1-(1-$D$27/100)/2,0,1)/SQRT(COUNT(#REF!)-3)))-1)/(EXP(2*(0.5*LN((1+AD132)/(1-AD132))+NORMINV(1-(1-$D$27/100)/2,0,1)/SQRT(COUNT(#REF!)-3)))+1),"")</f>
        <v/>
      </c>
      <c r="AE134" s="236" t="str">
        <f>IF(AE123&gt;2,(EXP(2*(0.5*LN((1+AE132)/(1-AE132))+NORMINV(1-(1-$D$27/100)/2,0,1)/SQRT(COUNT(#REF!)-3)))-1)/(EXP(2*(0.5*LN((1+AE132)/(1-AE132))+NORMINV(1-(1-$D$27/100)/2,0,1)/SQRT(COUNT(#REF!)-3)))+1),"")</f>
        <v/>
      </c>
      <c r="AF134" s="236" t="str">
        <f>IF(AF123&gt;2,(EXP(2*(0.5*LN((1+AF132)/(1-AF132))+NORMINV(1-(1-$D$27/100)/2,0,1)/SQRT(COUNT(#REF!)-3)))-1)/(EXP(2*(0.5*LN((1+AF132)/(1-AF132))+NORMINV(1-(1-$D$27/100)/2,0,1)/SQRT(COUNT(#REF!)-3)))+1),"")</f>
        <v/>
      </c>
      <c r="AG134" s="236" t="str">
        <f>IF(AG123&gt;2,(EXP(2*(0.5*LN((1+AG132)/(1-AG132))+NORMINV(1-(1-$D$27/100)/2,0,1)/SQRT(COUNT(#REF!)-3)))-1)/(EXP(2*(0.5*LN((1+AG132)/(1-AG132))+NORMINV(1-(1-$D$27/100)/2,0,1)/SQRT(COUNT(#REF!)-3)))+1),"")</f>
        <v/>
      </c>
      <c r="AH134" s="236" t="str">
        <f>IF(AH123&gt;2,(EXP(2*(0.5*LN((1+AH132)/(1-AH132))+NORMINV(1-(1-$D$27/100)/2,0,1)/SQRT(COUNT(#REF!)-3)))-1)/(EXP(2*(0.5*LN((1+AH132)/(1-AH132))+NORMINV(1-(1-$D$27/100)/2,0,1)/SQRT(COUNT(#REF!)-3)))+1),"")</f>
        <v/>
      </c>
      <c r="AI134" s="170"/>
    </row>
    <row r="135" spans="28:35" x14ac:dyDescent="0.15">
      <c r="AB135" s="65"/>
      <c r="AC135" s="56" t="s">
        <v>102</v>
      </c>
      <c r="AD135" s="57" t="str">
        <f>IF(AD123&gt;2,1+(1-CORREL(#REF!,#REF!)^2)/2/(L48-3),"")</f>
        <v/>
      </c>
      <c r="AE135" s="57" t="str">
        <f>IF(AE123&gt;2,1+(1-CORREL(#REF!,#REF!)^2)/2/(M48-3),"")</f>
        <v/>
      </c>
      <c r="AF135" s="57" t="str">
        <f>IF(AF123&gt;2,1+(1-CORREL(#REF!,#REF!)^2)/2/(N48-3),"")</f>
        <v/>
      </c>
      <c r="AG135" s="57" t="str">
        <f>IF(AG123&gt;2,1+(1-CORREL(#REF!,#REF!)^2)/2/(O48-3),"")</f>
        <v/>
      </c>
      <c r="AH135" s="57" t="str">
        <f>IF(AH123&gt;2,1+(1-CORREL(#REF!,#REF!)^2)/2/(P48-3),"")</f>
        <v/>
      </c>
      <c r="AI135" s="170"/>
    </row>
    <row r="136" spans="28:35" x14ac:dyDescent="0.15">
      <c r="AB136" s="65"/>
      <c r="AC136" s="231" t="s">
        <v>133</v>
      </c>
      <c r="AD136" s="238" t="str">
        <f>IF(AD123,(1-AD113^2/(SUMPRODUCT(V47:W47,V47:W47,V50:W50)/SUM(V50:W50)))*(1+(1-(1-AD113^2/(SUMPRODUCT(V47:W47,V47:W47,V50:W50)/SUM(V50:W50)))^2)/(V48+W48-AD48-3)),"")</f>
        <v/>
      </c>
      <c r="AE136" s="238" t="str">
        <f>IF(AE123,(1-AE113^2/(SUMPRODUCT(W47:X47,W47:X47,W50:X50)/SUM(W50:X50)))*(1+(1-(1-AE113^2/(SUMPRODUCT(W47:X47,W47:X47,W50:X50)/SUM(W50:X50)))^2)/(W48+X48-AE48-3)),"")</f>
        <v/>
      </c>
      <c r="AF136" s="238" t="str">
        <f>IF(AF123,(1-AF113^2/(SUMPRODUCT(X47:Y47,X47:Y47,X50:Y50)/SUM(X50:Y50)))*(1+(1-(1-AF113^2/(SUMPRODUCT(X47:Y47,X47:Y47,X50:Y50)/SUM(X50:Y50)))^2)/(X48+Y48-AF48-3)),"")</f>
        <v/>
      </c>
      <c r="AG136" s="238" t="str">
        <f>IF(AG123,(1-AG113^2/(SUMPRODUCT(Y47:Z47,Y47:Z47,Y50:Z50)/SUM(Y50:Z50)))*(1+(1-(1-AG113^2/(SUMPRODUCT(Y47:Z47,Y47:Z47,Y50:Z50)/SUM(Y50:Z50)))^2)/(Y48+Z48-AG48-3)),"")</f>
        <v/>
      </c>
      <c r="AH136" s="238" t="str">
        <f>IF(AH123,(1-AH113^2/(SUMPRODUCT(Z47:AA47,Z47:AA47,Z50:AA50)/SUM(Z50:AA50)))*(1+(1-(1-AH113^2/(SUMPRODUCT(Z47:AA47,Z47:AA47,Z50:AA50)/SUM(Z50:AA50)))^2)/(Z48+AA48-AH48-3)),"")</f>
        <v/>
      </c>
      <c r="AI136" s="57" t="e">
        <f>(1-AI113^2/AB47^2)*(1+(1-(1-AI113^2/AB47^2)^2)/(AJ46-3))</f>
        <v>#REF!</v>
      </c>
    </row>
    <row r="137" spans="28:35" x14ac:dyDescent="0.15">
      <c r="AB137" s="65"/>
      <c r="AC137" s="56" t="s">
        <v>92</v>
      </c>
      <c r="AD137" s="237" t="str">
        <f t="shared" ref="AD137:AI137" si="49">IF(AD123,(AD143-1)/(AD143+AD139-1),"")</f>
        <v/>
      </c>
      <c r="AE137" s="237" t="str">
        <f t="shared" si="49"/>
        <v/>
      </c>
      <c r="AF137" s="237" t="str">
        <f t="shared" si="49"/>
        <v/>
      </c>
      <c r="AG137" s="237" t="str">
        <f t="shared" si="49"/>
        <v/>
      </c>
      <c r="AH137" s="237" t="str">
        <f t="shared" si="49"/>
        <v/>
      </c>
      <c r="AI137" s="237" t="e">
        <f t="shared" si="49"/>
        <v>#REF!</v>
      </c>
    </row>
    <row r="138" spans="28:35" x14ac:dyDescent="0.15">
      <c r="AB138" s="65"/>
      <c r="AC138" s="56" t="s">
        <v>95</v>
      </c>
      <c r="AD138" s="170" t="str">
        <f t="shared" ref="AD138:AI138" si="50">IF(AD123,(AD144-1)/(AD144+AD139-1),"")</f>
        <v/>
      </c>
      <c r="AE138" s="170" t="str">
        <f t="shared" si="50"/>
        <v/>
      </c>
      <c r="AF138" s="170" t="str">
        <f t="shared" si="50"/>
        <v/>
      </c>
      <c r="AG138" s="170" t="str">
        <f t="shared" si="50"/>
        <v/>
      </c>
      <c r="AH138" s="170" t="str">
        <f t="shared" si="50"/>
        <v/>
      </c>
      <c r="AI138" s="170" t="e">
        <f t="shared" si="50"/>
        <v>#REF!</v>
      </c>
    </row>
    <row r="139" spans="28:35" x14ac:dyDescent="0.15">
      <c r="AB139" s="65"/>
      <c r="AC139" s="56" t="s">
        <v>114</v>
      </c>
      <c r="AD139" s="58" t="str">
        <f>IF(AD123,1+AD123/(V48+W48-AD48-1),"")</f>
        <v/>
      </c>
      <c r="AE139" s="58" t="str">
        <f>IF(AE123,1+AE123/(W48+X48-AE48-1),"")</f>
        <v/>
      </c>
      <c r="AF139" s="58" t="str">
        <f>IF(AF123,1+AF123/(X48+Y48-AF48-1),"")</f>
        <v/>
      </c>
      <c r="AG139" s="58" t="str">
        <f>IF(AG123,1+AG123/(Y48+Z48-AG48-1),"")</f>
        <v/>
      </c>
      <c r="AH139" s="58" t="str">
        <f>IF(AH123,1+AH123/(Z48+AA48-AH48-1),"")</f>
        <v/>
      </c>
      <c r="AI139" s="58" t="e">
        <f>IF(AI123,1+AI123/(AJ46-1),"")</f>
        <v>#REF!</v>
      </c>
    </row>
    <row r="140" spans="28:35" x14ac:dyDescent="0.15">
      <c r="AB140" s="65"/>
      <c r="AC140" s="56" t="s">
        <v>115</v>
      </c>
      <c r="AD140" s="58" t="str">
        <f t="shared" ref="AD140:AI140" si="51">IF(AD123,1+AD136*AD139/(1-AD136),"")</f>
        <v/>
      </c>
      <c r="AE140" s="58" t="str">
        <f t="shared" si="51"/>
        <v/>
      </c>
      <c r="AF140" s="58" t="str">
        <f t="shared" si="51"/>
        <v/>
      </c>
      <c r="AG140" s="58" t="str">
        <f t="shared" si="51"/>
        <v/>
      </c>
      <c r="AH140" s="58" t="str">
        <f t="shared" si="51"/>
        <v/>
      </c>
      <c r="AI140" s="58" t="e">
        <f t="shared" si="51"/>
        <v>#REF!</v>
      </c>
    </row>
    <row r="141" spans="28:35" x14ac:dyDescent="0.15">
      <c r="AB141" s="65"/>
      <c r="AC141" s="56" t="s">
        <v>116</v>
      </c>
      <c r="AD141" s="71">
        <f>AD123</f>
        <v>0</v>
      </c>
      <c r="AE141" s="43" t="str">
        <f>IF(AE123,W48+X48-AE48-1,"")</f>
        <v/>
      </c>
      <c r="AF141" s="43" t="str">
        <f>IF(AF123,X48+Y48-AF48-1,"")</f>
        <v/>
      </c>
      <c r="AG141" s="43" t="str">
        <f>IF(AG123,Y48+Z48-AG48-1,"")</f>
        <v/>
      </c>
      <c r="AH141" s="43" t="str">
        <f>IF(AH123,Z48+AA48-AH48-1,"")</f>
        <v/>
      </c>
      <c r="AI141" s="43" t="e">
        <f>IF(AI123,AJ46-1,"")</f>
        <v>#REF!</v>
      </c>
    </row>
    <row r="142" spans="28:35" x14ac:dyDescent="0.15">
      <c r="AB142" s="65"/>
      <c r="AC142" s="56" t="s">
        <v>117</v>
      </c>
      <c r="AD142" s="71">
        <f t="shared" ref="AD142:AI142" si="52">AD123</f>
        <v>0</v>
      </c>
      <c r="AE142" s="71">
        <f t="shared" si="52"/>
        <v>0</v>
      </c>
      <c r="AF142" s="71">
        <f t="shared" si="52"/>
        <v>0</v>
      </c>
      <c r="AG142" s="71">
        <f t="shared" si="52"/>
        <v>0</v>
      </c>
      <c r="AH142" s="71">
        <f t="shared" si="52"/>
        <v>0</v>
      </c>
      <c r="AI142" s="71" t="e">
        <f t="shared" si="52"/>
        <v>#REF!</v>
      </c>
    </row>
    <row r="143" spans="28:35" x14ac:dyDescent="0.15">
      <c r="AB143" s="65"/>
      <c r="AC143" s="56" t="s">
        <v>118</v>
      </c>
      <c r="AD143" s="58" t="str">
        <f t="shared" ref="AD143:AI143" si="53">IF(AD123,AD140/FINV((1-$D$27/100)/2,AD141,AD142),"")</f>
        <v/>
      </c>
      <c r="AE143" s="58" t="str">
        <f t="shared" si="53"/>
        <v/>
      </c>
      <c r="AF143" s="58" t="str">
        <f t="shared" si="53"/>
        <v/>
      </c>
      <c r="AG143" s="58" t="str">
        <f t="shared" si="53"/>
        <v/>
      </c>
      <c r="AH143" s="58" t="str">
        <f t="shared" si="53"/>
        <v/>
      </c>
      <c r="AI143" s="58" t="e">
        <f t="shared" si="53"/>
        <v>#REF!</v>
      </c>
    </row>
    <row r="144" spans="28:35" x14ac:dyDescent="0.15">
      <c r="AB144" s="239"/>
      <c r="AC144" s="56" t="s">
        <v>119</v>
      </c>
      <c r="AD144" s="58" t="str">
        <f t="shared" ref="AD144:AI144" si="54">IF(AD123,AD140*FINV((1-$D$27/100)/2,AD142,AD141),"")</f>
        <v/>
      </c>
      <c r="AE144" s="58" t="str">
        <f t="shared" si="54"/>
        <v/>
      </c>
      <c r="AF144" s="58" t="str">
        <f t="shared" si="54"/>
        <v/>
      </c>
      <c r="AG144" s="58" t="str">
        <f t="shared" si="54"/>
        <v/>
      </c>
      <c r="AH144" s="58" t="str">
        <f t="shared" si="54"/>
        <v/>
      </c>
      <c r="AI144" s="58" t="e">
        <f t="shared" si="54"/>
        <v>#REF!</v>
      </c>
    </row>
    <row r="145" spans="28:35" x14ac:dyDescent="0.15">
      <c r="AB145" s="240"/>
      <c r="AC145" s="241" t="s">
        <v>120</v>
      </c>
      <c r="AD145" s="242" t="str">
        <f>IF((AD54&gt;3)*AD123,FISHER(AD132),"")</f>
        <v/>
      </c>
      <c r="AE145" s="242" t="str">
        <f>IF((AE54&gt;3)*AE123,FISHER(AE132),"")</f>
        <v/>
      </c>
      <c r="AF145" s="242" t="str">
        <f>IF((AF54&gt;3)*AF123,FISHER(AF132),"")</f>
        <v/>
      </c>
      <c r="AG145" s="242" t="str">
        <f>IF((AG54&gt;3)*AG123,FISHER(AG132),"")</f>
        <v/>
      </c>
      <c r="AH145" s="242" t="str">
        <f>IF((AH54&gt;3)*AH123,FISHER(AH132),"")</f>
        <v/>
      </c>
      <c r="AI145" s="242" t="e">
        <f>SUMPRODUCT(AD145:AH145,AD146:AH146)/SUM(AD146:AH146)</f>
        <v>#DIV/0!</v>
      </c>
    </row>
    <row r="146" spans="28:35" x14ac:dyDescent="0.15">
      <c r="AB146" s="240"/>
      <c r="AC146" s="243" t="s">
        <v>121</v>
      </c>
      <c r="AD146" s="244" t="str">
        <f>IF((AD54&gt;3)*AD123,(AD54-3),"")</f>
        <v/>
      </c>
      <c r="AE146" s="244" t="str">
        <f>IF((AE54&gt;3)*AE123,(AE54-3),"")</f>
        <v/>
      </c>
      <c r="AF146" s="244" t="str">
        <f>IF((AF54&gt;3)*AF123,(AF54-3),"")</f>
        <v/>
      </c>
      <c r="AG146" s="244" t="str">
        <f>IF((AG54&gt;3)*AG123,(AG54-3),"")</f>
        <v/>
      </c>
      <c r="AH146" s="244" t="str">
        <f>IF((AH54&gt;3)*AH123,(AH54-3),"")</f>
        <v/>
      </c>
      <c r="AI146" s="244"/>
    </row>
    <row r="147" spans="28:35" x14ac:dyDescent="0.15">
      <c r="AB147" s="240"/>
      <c r="AC147" s="243" t="s">
        <v>122</v>
      </c>
      <c r="AD147" s="244" t="str">
        <f>IF(AD$123*(AD136&gt;0),(SUMPRODUCT(V$47:W$47,V$47:W$47,V$50:W$50)/SUM(V$50:W$50))-AD113^2,"")</f>
        <v/>
      </c>
      <c r="AE147" s="244" t="str">
        <f>IF(AE$123*(AE136&gt;0),(SUMPRODUCT(W$47:X$47,W$47:X$47,W$50:X$50)/SUM(W$50:X$50))-AE113^2,"")</f>
        <v/>
      </c>
      <c r="AF147" s="244" t="str">
        <f>IF(AF$123*(AF136&gt;0),(SUMPRODUCT(X$47:Y$47,X$47:Y$47,X$50:Y$50)/SUM(X$50:Y$50))-AF113^2,"")</f>
        <v/>
      </c>
      <c r="AG147" s="244" t="str">
        <f>IF(AG$123*(AG136&gt;0),(SUMPRODUCT(Y$47:Z$47,Y$47:Z$47,Y$50:Z$50)/SUM(Y$50:Z$50))-AG113^2,"")</f>
        <v/>
      </c>
      <c r="AH147" s="244" t="str">
        <f>IF(AH$123*(AH136&gt;0),(SUMPRODUCT(Z$47:AA$47,Z$47:AA$47,Z$50:AA$50)/SUM(Z$50:AA$50))-AH113^2,"")</f>
        <v/>
      </c>
      <c r="AI147" s="244" t="e">
        <f>IF(AI$123*(AI136&gt;0),AB47^2-AI113^2,"")</f>
        <v>#REF!</v>
      </c>
    </row>
    <row r="148" spans="28:35" x14ac:dyDescent="0.15">
      <c r="AB148" s="240"/>
      <c r="AC148" s="243" t="s">
        <v>123</v>
      </c>
      <c r="AD148" s="244" t="str">
        <f>IF(AD$123*(AD136&gt;0),SQRT(2*((SUMPRODUCT(V$47:W$47,V$47:W$47,V$50:W$50)/SUM(V$50:W$50))^2/AD141-AD123^4/AD142)),"")</f>
        <v/>
      </c>
      <c r="AE148" s="244" t="str">
        <f>IF(AE$123*(AE136&gt;0),SQRT(2*((SUMPRODUCT(W$47:X$47,W$47:X$47,W$50:X$50)/SUM(W$50:X$50))^2/AE141-AE123^4/AE142)),"")</f>
        <v/>
      </c>
      <c r="AF148" s="244" t="str">
        <f>IF(AF$123*(AF136&gt;0),SQRT(2*((SUMPRODUCT(X$47:Y$47,X$47:Y$47,X$50:Y$50)/SUM(X$50:Y$50))^2/AF141-AF123^4/AF142)),"")</f>
        <v/>
      </c>
      <c r="AG148" s="244" t="str">
        <f>IF(AG$123*(AG136&gt;0),SQRT(2*((SUMPRODUCT(Y$47:Z$47,Y$47:Z$47,Y$50:Z$50)/SUM(Y$50:Z$50))^2/AG141-AG123^4/AG142)),"")</f>
        <v/>
      </c>
      <c r="AH148" s="244" t="str">
        <f>IF(AH$123*(AH136&gt;0),SQRT(2*((SUMPRODUCT(Z$47:AA$47,Z$47:AA$47,Z$50:AA$50)/SUM(Z$50:AA$50))^2/AH141-AH123^4/AH142)),"")</f>
        <v/>
      </c>
      <c r="AI148" s="244" t="e">
        <f>IF(AI$123*(AI136&gt;0),SQRT(2*AB47^4/AI141-AI113^4/AI142),"")</f>
        <v>#REF!</v>
      </c>
    </row>
    <row r="149" spans="28:35" x14ac:dyDescent="0.15">
      <c r="AB149" s="240"/>
      <c r="AC149" s="243" t="s">
        <v>124</v>
      </c>
      <c r="AD149" s="244" t="str">
        <f t="shared" ref="AD149:AI149" si="55">IF(AD$123*(AD136&gt;0),AD147+NORMSINV((100-$D$27)/100/2)*AD148,"")</f>
        <v/>
      </c>
      <c r="AE149" s="244" t="str">
        <f t="shared" si="55"/>
        <v/>
      </c>
      <c r="AF149" s="244" t="str">
        <f t="shared" si="55"/>
        <v/>
      </c>
      <c r="AG149" s="244" t="str">
        <f t="shared" si="55"/>
        <v/>
      </c>
      <c r="AH149" s="244" t="str">
        <f t="shared" si="55"/>
        <v/>
      </c>
      <c r="AI149" s="244" t="e">
        <f t="shared" si="55"/>
        <v>#REF!</v>
      </c>
    </row>
    <row r="150" spans="28:35" x14ac:dyDescent="0.15">
      <c r="AB150" s="240"/>
      <c r="AC150" s="243" t="s">
        <v>125</v>
      </c>
      <c r="AD150" s="244" t="str">
        <f t="shared" ref="AD150:AI150" si="56">IF(AD$123*(AD136&gt;0),AD147-NORMSINV((100-$D$27)/100/2)*AD148,"")</f>
        <v/>
      </c>
      <c r="AE150" s="244" t="str">
        <f t="shared" si="56"/>
        <v/>
      </c>
      <c r="AF150" s="244" t="str">
        <f t="shared" si="56"/>
        <v/>
      </c>
      <c r="AG150" s="244" t="str">
        <f t="shared" si="56"/>
        <v/>
      </c>
      <c r="AH150" s="244" t="str">
        <f t="shared" si="56"/>
        <v/>
      </c>
      <c r="AI150" s="244" t="e">
        <f t="shared" si="56"/>
        <v>#REF!</v>
      </c>
    </row>
  </sheetData>
  <mergeCells count="2">
    <mergeCell ref="J72:K72"/>
    <mergeCell ref="AB89:AC89"/>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E5563-3124-1B4D-9C87-E2478EE311D0}">
  <dimension ref="A1:AR150"/>
  <sheetViews>
    <sheetView tabSelected="1" zoomScale="90" zoomScaleNormal="75" workbookViewId="0">
      <selection activeCell="K19" sqref="K19"/>
    </sheetView>
  </sheetViews>
  <sheetFormatPr baseColWidth="10" defaultColWidth="8.83203125" defaultRowHeight="13" x14ac:dyDescent="0.15"/>
  <cols>
    <col min="1" max="1" width="4.33203125" style="4" customWidth="1"/>
    <col min="2" max="2" width="7.1640625" style="4" customWidth="1"/>
    <col min="3" max="3" width="25.83203125" style="4" customWidth="1"/>
    <col min="4" max="5" width="10.5" style="4" bestFit="1" customWidth="1"/>
    <col min="6" max="8" width="8.83203125" style="4"/>
    <col min="9" max="9" width="9.5" style="4" customWidth="1"/>
    <col min="10" max="10" width="10.6640625" style="4" customWidth="1"/>
    <col min="11" max="11" width="19.1640625" style="4" customWidth="1"/>
    <col min="12" max="18" width="8.83203125" style="4"/>
    <col min="19" max="20" width="2.5" style="4" customWidth="1"/>
    <col min="21" max="21" width="21.5" style="4" customWidth="1"/>
    <col min="22" max="28" width="8.83203125" style="4"/>
    <col min="29" max="29" width="23.33203125" style="4" customWidth="1"/>
    <col min="30" max="30" width="11.6640625" style="4" bestFit="1" customWidth="1"/>
    <col min="31" max="31" width="8.33203125" style="4" customWidth="1"/>
    <col min="32" max="35" width="8.83203125" style="4"/>
    <col min="36" max="36" width="8.5" style="4" customWidth="1"/>
    <col min="37" max="16384" width="8.83203125" style="4"/>
  </cols>
  <sheetData>
    <row r="1" spans="2:7" s="2" customFormat="1" ht="14" x14ac:dyDescent="0.15">
      <c r="B1" s="1" t="s">
        <v>2</v>
      </c>
    </row>
    <row r="2" spans="2:7" x14ac:dyDescent="0.15">
      <c r="B2" s="3" t="s">
        <v>3</v>
      </c>
    </row>
    <row r="3" spans="2:7" x14ac:dyDescent="0.15">
      <c r="B3" s="3" t="s">
        <v>4</v>
      </c>
      <c r="D3" s="4">
        <v>2015</v>
      </c>
      <c r="E3" s="4">
        <v>2012</v>
      </c>
      <c r="F3" s="4">
        <v>2010</v>
      </c>
      <c r="G3" s="4">
        <v>2009</v>
      </c>
    </row>
    <row r="4" spans="2:7" ht="7.75" customHeight="1" x14ac:dyDescent="0.15">
      <c r="B4" s="3"/>
    </row>
    <row r="5" spans="2:7" x14ac:dyDescent="0.15">
      <c r="B5" s="4" t="s">
        <v>5</v>
      </c>
    </row>
    <row r="6" spans="2:7" x14ac:dyDescent="0.15">
      <c r="B6" s="4" t="s">
        <v>6</v>
      </c>
    </row>
    <row r="7" spans="2:7" x14ac:dyDescent="0.15">
      <c r="B7" s="4" t="s">
        <v>7</v>
      </c>
    </row>
    <row r="8" spans="2:7" x14ac:dyDescent="0.15">
      <c r="B8" s="4" t="s">
        <v>8</v>
      </c>
    </row>
    <row r="9" spans="2:7" x14ac:dyDescent="0.15">
      <c r="B9" s="4" t="s">
        <v>9</v>
      </c>
    </row>
    <row r="10" spans="2:7" x14ac:dyDescent="0.15">
      <c r="B10" s="4" t="s">
        <v>10</v>
      </c>
    </row>
    <row r="11" spans="2:7" x14ac:dyDescent="0.15">
      <c r="B11" s="4" t="s">
        <v>11</v>
      </c>
    </row>
    <row r="12" spans="2:7" x14ac:dyDescent="0.15">
      <c r="B12" s="3" t="s">
        <v>12</v>
      </c>
    </row>
    <row r="13" spans="2:7" x14ac:dyDescent="0.15">
      <c r="B13" s="3" t="s">
        <v>13</v>
      </c>
    </row>
    <row r="14" spans="2:7" x14ac:dyDescent="0.15">
      <c r="B14" s="3" t="s">
        <v>14</v>
      </c>
    </row>
    <row r="15" spans="2:7" x14ac:dyDescent="0.15">
      <c r="B15" s="3" t="s">
        <v>15</v>
      </c>
    </row>
    <row r="16" spans="2:7" x14ac:dyDescent="0.15">
      <c r="B16" s="3" t="s">
        <v>16</v>
      </c>
    </row>
    <row r="17" spans="1:37" x14ac:dyDescent="0.15">
      <c r="B17" s="4" t="s">
        <v>17</v>
      </c>
      <c r="M17" s="5" t="s">
        <v>18</v>
      </c>
      <c r="W17" s="5" t="s">
        <v>19</v>
      </c>
    </row>
    <row r="18" spans="1:37" x14ac:dyDescent="0.15">
      <c r="B18" s="4" t="s">
        <v>20</v>
      </c>
      <c r="M18" s="6" t="s">
        <v>21</v>
      </c>
      <c r="W18" s="6" t="s">
        <v>22</v>
      </c>
    </row>
    <row r="19" spans="1:37" x14ac:dyDescent="0.15">
      <c r="B19" s="4" t="s">
        <v>23</v>
      </c>
      <c r="M19" s="6" t="s">
        <v>24</v>
      </c>
      <c r="W19" s="6" t="s">
        <v>25</v>
      </c>
    </row>
    <row r="20" spans="1:37" x14ac:dyDescent="0.15">
      <c r="B20" s="4" t="s">
        <v>26</v>
      </c>
      <c r="M20" s="6" t="s">
        <v>27</v>
      </c>
      <c r="W20" s="6" t="s">
        <v>28</v>
      </c>
    </row>
    <row r="21" spans="1:37" x14ac:dyDescent="0.15">
      <c r="B21" s="3" t="s">
        <v>29</v>
      </c>
    </row>
    <row r="22" spans="1:37" x14ac:dyDescent="0.15">
      <c r="B22" s="3" t="s">
        <v>30</v>
      </c>
      <c r="M22" s="4" t="s">
        <v>31</v>
      </c>
      <c r="W22" s="4" t="s">
        <v>32</v>
      </c>
      <c r="AD22" s="4" t="s">
        <v>31</v>
      </c>
    </row>
    <row r="23" spans="1:37" x14ac:dyDescent="0.15">
      <c r="B23" s="4" t="s">
        <v>33</v>
      </c>
      <c r="M23" s="6" t="s">
        <v>34</v>
      </c>
      <c r="W23" s="6" t="s">
        <v>35</v>
      </c>
      <c r="AD23" s="6" t="s">
        <v>34</v>
      </c>
    </row>
    <row r="24" spans="1:37" x14ac:dyDescent="0.15">
      <c r="M24" s="6" t="s">
        <v>36</v>
      </c>
      <c r="W24" s="6" t="s">
        <v>36</v>
      </c>
      <c r="AD24" s="6" t="s">
        <v>36</v>
      </c>
    </row>
    <row r="25" spans="1:37" ht="7.5" customHeight="1" x14ac:dyDescent="0.15">
      <c r="A25" s="7"/>
      <c r="B25" s="7"/>
      <c r="C25" s="7"/>
      <c r="D25" s="7"/>
      <c r="E25" s="7"/>
      <c r="F25" s="7"/>
      <c r="G25" s="7"/>
      <c r="H25" s="7"/>
      <c r="I25" s="7"/>
      <c r="J25" s="8"/>
      <c r="K25" s="7"/>
      <c r="L25" s="7"/>
      <c r="M25" s="7"/>
      <c r="N25" s="7"/>
      <c r="O25" s="7"/>
      <c r="P25" s="7"/>
      <c r="Q25" s="7"/>
      <c r="R25" s="7"/>
      <c r="S25" s="9"/>
      <c r="T25" s="9"/>
      <c r="U25" s="9"/>
      <c r="V25" s="9"/>
      <c r="W25" s="9"/>
      <c r="X25" s="9"/>
      <c r="Y25" s="9"/>
      <c r="Z25" s="9"/>
      <c r="AA25" s="9"/>
      <c r="AB25" s="9"/>
      <c r="AC25" s="9"/>
      <c r="AD25" s="9"/>
      <c r="AE25" s="9"/>
      <c r="AF25" s="9"/>
      <c r="AG25" s="9"/>
      <c r="AH25" s="9"/>
      <c r="AI25" s="9"/>
      <c r="AJ25" s="9"/>
    </row>
    <row r="26" spans="1:37" ht="13.75" customHeight="1" x14ac:dyDescent="0.15">
      <c r="A26" s="7"/>
      <c r="B26" s="10"/>
      <c r="C26" s="11" t="s">
        <v>37</v>
      </c>
      <c r="D26" s="12">
        <v>0.2</v>
      </c>
      <c r="E26" s="7"/>
      <c r="F26" s="7"/>
      <c r="G26" s="7"/>
      <c r="H26" s="7"/>
      <c r="I26" s="7"/>
      <c r="J26" s="8"/>
      <c r="K26" s="7"/>
      <c r="L26" s="7"/>
      <c r="M26" s="7"/>
      <c r="N26" s="7"/>
      <c r="O26" s="7"/>
      <c r="P26" s="7"/>
      <c r="Q26" s="7"/>
      <c r="R26" s="7"/>
      <c r="S26" s="9"/>
      <c r="T26" s="9"/>
      <c r="U26" s="9"/>
      <c r="V26" s="9"/>
      <c r="W26" s="9"/>
      <c r="X26" s="9"/>
      <c r="Y26" s="9"/>
      <c r="Z26" s="9"/>
      <c r="AA26" s="9"/>
      <c r="AB26" s="9"/>
      <c r="AC26" s="9"/>
      <c r="AD26" s="9"/>
      <c r="AE26" s="9"/>
      <c r="AF26" s="9"/>
      <c r="AG26" s="9"/>
      <c r="AH26" s="9"/>
      <c r="AI26" s="9"/>
      <c r="AJ26" s="9"/>
    </row>
    <row r="27" spans="1:37" ht="14" x14ac:dyDescent="0.15">
      <c r="A27" s="7"/>
      <c r="B27" s="10"/>
      <c r="C27" s="11" t="s">
        <v>38</v>
      </c>
      <c r="D27" s="12">
        <v>95</v>
      </c>
      <c r="E27" s="7"/>
      <c r="F27" s="7"/>
      <c r="G27" s="13" t="s">
        <v>39</v>
      </c>
      <c r="H27" s="14" t="s">
        <v>40</v>
      </c>
      <c r="I27" s="15" t="s">
        <v>41</v>
      </c>
      <c r="J27" s="7"/>
      <c r="K27" s="7"/>
      <c r="L27" s="7"/>
      <c r="M27" s="13" t="s">
        <v>39</v>
      </c>
      <c r="N27" s="16" t="s">
        <v>42</v>
      </c>
      <c r="O27" s="14" t="s">
        <v>40</v>
      </c>
      <c r="P27" s="15" t="s">
        <v>41</v>
      </c>
      <c r="Q27" s="17" t="s">
        <v>43</v>
      </c>
      <c r="R27" s="7"/>
      <c r="S27" s="9"/>
      <c r="T27" s="9"/>
      <c r="U27" s="9"/>
      <c r="V27" s="9"/>
      <c r="W27" s="9"/>
      <c r="X27" s="18" t="s">
        <v>39</v>
      </c>
      <c r="Y27" s="19" t="s">
        <v>42</v>
      </c>
      <c r="Z27" s="20" t="s">
        <v>40</v>
      </c>
      <c r="AA27" s="21" t="s">
        <v>41</v>
      </c>
      <c r="AB27" s="22" t="s">
        <v>43</v>
      </c>
      <c r="AC27" s="9"/>
      <c r="AD27" s="9"/>
      <c r="AE27" s="18" t="s">
        <v>39</v>
      </c>
      <c r="AF27" s="19" t="s">
        <v>42</v>
      </c>
      <c r="AG27" s="20" t="s">
        <v>40</v>
      </c>
      <c r="AH27" s="21" t="s">
        <v>41</v>
      </c>
      <c r="AI27" s="22" t="s">
        <v>43</v>
      </c>
      <c r="AJ27" s="22"/>
    </row>
    <row r="28" spans="1:37" s="34" customFormat="1" ht="14" x14ac:dyDescent="0.15">
      <c r="A28" s="23"/>
      <c r="B28" s="23"/>
      <c r="C28" s="24" t="s">
        <v>44</v>
      </c>
      <c r="D28" s="25"/>
      <c r="E28" s="24"/>
      <c r="F28" s="24"/>
      <c r="G28" s="24"/>
      <c r="H28" s="24"/>
      <c r="I28" s="24"/>
      <c r="J28" s="26"/>
      <c r="K28" s="23"/>
      <c r="L28" s="27" t="s">
        <v>45</v>
      </c>
      <c r="M28" s="27"/>
      <c r="N28" s="27"/>
      <c r="O28" s="27"/>
      <c r="P28" s="27"/>
      <c r="Q28" s="17" t="s">
        <v>46</v>
      </c>
      <c r="R28" s="28" t="s">
        <v>47</v>
      </c>
      <c r="S28" s="29"/>
      <c r="T28" s="30"/>
      <c r="U28" s="9"/>
      <c r="V28" s="31" t="s">
        <v>48</v>
      </c>
      <c r="W28" s="32"/>
      <c r="X28" s="32"/>
      <c r="Y28" s="32"/>
      <c r="Z28" s="32"/>
      <c r="AA28" s="32"/>
      <c r="AB28" s="22" t="s">
        <v>46</v>
      </c>
      <c r="AC28" s="30"/>
      <c r="AD28" s="32" t="s">
        <v>49</v>
      </c>
      <c r="AE28" s="32"/>
      <c r="AF28" s="32"/>
      <c r="AG28" s="32"/>
      <c r="AH28" s="32"/>
      <c r="AI28" s="22" t="s">
        <v>46</v>
      </c>
      <c r="AJ28" s="33" t="s">
        <v>47</v>
      </c>
    </row>
    <row r="29" spans="1:37" s="44" customFormat="1" ht="14" x14ac:dyDescent="0.15">
      <c r="A29" s="35"/>
      <c r="B29" s="35"/>
      <c r="C29" s="36" t="s">
        <v>50</v>
      </c>
      <c r="D29" s="37">
        <v>1</v>
      </c>
      <c r="E29" s="37">
        <v>2</v>
      </c>
      <c r="F29" s="37">
        <v>3</v>
      </c>
      <c r="G29" s="37">
        <v>4</v>
      </c>
      <c r="H29" s="37">
        <v>5</v>
      </c>
      <c r="I29" s="37">
        <v>6</v>
      </c>
      <c r="J29" s="38" t="s">
        <v>51</v>
      </c>
      <c r="K29" s="35"/>
      <c r="L29" s="39" t="str">
        <f>E29&amp;"-"&amp;D29</f>
        <v>2-1</v>
      </c>
      <c r="M29" s="39" t="str">
        <f>F29&amp;"-"&amp;E29</f>
        <v>3-2</v>
      </c>
      <c r="N29" s="39" t="str">
        <f>G29&amp;"-"&amp;F29</f>
        <v>4-3</v>
      </c>
      <c r="O29" s="39" t="str">
        <f>H29&amp;"-"&amp;G29</f>
        <v>5-4</v>
      </c>
      <c r="P29" s="39" t="str">
        <f>I29&amp;"-"&amp;H29</f>
        <v>6-5</v>
      </c>
      <c r="Q29" s="17" t="s">
        <v>52</v>
      </c>
      <c r="R29" s="28" t="s">
        <v>53</v>
      </c>
      <c r="S29" s="29"/>
      <c r="T29" s="40"/>
      <c r="U29" s="40"/>
      <c r="V29" s="41">
        <f t="shared" ref="V29:AA29" si="0">D29</f>
        <v>1</v>
      </c>
      <c r="W29" s="41">
        <f t="shared" si="0"/>
        <v>2</v>
      </c>
      <c r="X29" s="41">
        <f t="shared" si="0"/>
        <v>3</v>
      </c>
      <c r="Y29" s="41">
        <f t="shared" si="0"/>
        <v>4</v>
      </c>
      <c r="Z29" s="41">
        <f t="shared" si="0"/>
        <v>5</v>
      </c>
      <c r="AA29" s="41">
        <f t="shared" si="0"/>
        <v>6</v>
      </c>
      <c r="AB29" s="22" t="s">
        <v>52</v>
      </c>
      <c r="AC29" s="42"/>
      <c r="AD29" s="41" t="str">
        <f>L29</f>
        <v>2-1</v>
      </c>
      <c r="AE29" s="41" t="str">
        <f>M29</f>
        <v>3-2</v>
      </c>
      <c r="AF29" s="41" t="str">
        <f>N29</f>
        <v>4-3</v>
      </c>
      <c r="AG29" s="41" t="str">
        <f>O29</f>
        <v>5-4</v>
      </c>
      <c r="AH29" s="41" t="str">
        <f>P29</f>
        <v>6-5</v>
      </c>
      <c r="AI29" s="22" t="s">
        <v>52</v>
      </c>
      <c r="AJ29" s="43" t="s">
        <v>53</v>
      </c>
    </row>
    <row r="30" spans="1:37" ht="16" x14ac:dyDescent="0.2">
      <c r="A30" s="7"/>
      <c r="B30" s="7"/>
      <c r="C30" s="245"/>
      <c r="D30" s="248">
        <v>41.91</v>
      </c>
      <c r="E30" s="247">
        <v>39.54</v>
      </c>
      <c r="F30" s="247"/>
      <c r="G30" s="45"/>
      <c r="J30" s="46"/>
      <c r="K30" s="7"/>
      <c r="L30" s="17">
        <f t="shared" ref="L30:P45" si="1">IF(AND(ISNUMBER(E30),ISNUMBER(D30)),(E30-D30),"delete")</f>
        <v>-2.3699999999999974</v>
      </c>
      <c r="M30" s="17" t="str">
        <f t="shared" si="1"/>
        <v>delete</v>
      </c>
      <c r="N30" s="17"/>
      <c r="O30" s="17"/>
      <c r="P30" s="17"/>
      <c r="Q30" s="7"/>
      <c r="R30" s="47">
        <f t="shared" ref="R30:R45" si="2">IF(SUMPRODUCT(D30:I30,D30:I30,$D$48:$I$48)&gt;0,1,0)</f>
        <v>1</v>
      </c>
      <c r="S30" s="48"/>
      <c r="T30" s="9"/>
      <c r="U30" s="18" t="s">
        <v>54</v>
      </c>
      <c r="V30" s="49">
        <f t="shared" ref="V30:AA45" si="3">100*LN(D30)</f>
        <v>373.55244619369802</v>
      </c>
      <c r="W30" s="49">
        <f t="shared" si="3"/>
        <v>367.73128177424707</v>
      </c>
      <c r="X30" s="49"/>
      <c r="Y30" s="49"/>
      <c r="Z30" s="49"/>
      <c r="AA30" s="49"/>
      <c r="AB30" s="22"/>
      <c r="AC30" s="22"/>
      <c r="AD30" s="22">
        <f t="shared" ref="AD30:AH45" si="4">IF(AND(ISNUMBER(W30),ISNUMBER(V30)),(W30-V30),"delete")</f>
        <v>-5.8211644194509518</v>
      </c>
      <c r="AE30" s="22"/>
      <c r="AF30" s="22"/>
      <c r="AG30" s="22"/>
      <c r="AH30" s="22"/>
      <c r="AI30" s="9"/>
      <c r="AJ30" s="43">
        <f t="shared" ref="AJ30:AJ45" si="5">IF(SUMPRODUCT(V30:AA30,V30:AA30,$V$48:$AA$48)&gt;0,1,0)</f>
        <v>0</v>
      </c>
      <c r="AK30" s="50"/>
    </row>
    <row r="31" spans="1:37" ht="16" x14ac:dyDescent="0.15">
      <c r="A31" s="7"/>
      <c r="B31" s="7"/>
      <c r="C31" s="245"/>
      <c r="D31" s="247">
        <v>43.97</v>
      </c>
      <c r="E31" s="247">
        <v>41.04</v>
      </c>
      <c r="F31" s="247"/>
      <c r="G31" s="45"/>
      <c r="J31" s="46"/>
      <c r="K31" s="7"/>
      <c r="L31" s="17">
        <f t="shared" si="1"/>
        <v>-2.9299999999999997</v>
      </c>
      <c r="M31" s="17" t="str">
        <f t="shared" si="1"/>
        <v>delete</v>
      </c>
      <c r="N31" s="17"/>
      <c r="O31" s="17"/>
      <c r="P31" s="17"/>
      <c r="Q31" s="7"/>
      <c r="R31" s="47">
        <f t="shared" si="2"/>
        <v>1</v>
      </c>
      <c r="S31" s="48"/>
      <c r="T31" s="9"/>
      <c r="U31" s="18" t="s">
        <v>55</v>
      </c>
      <c r="V31" s="49">
        <f t="shared" si="3"/>
        <v>378.35075831927185</v>
      </c>
      <c r="W31" s="49">
        <f t="shared" si="3"/>
        <v>371.45472008625143</v>
      </c>
      <c r="X31" s="49"/>
      <c r="Y31" s="49"/>
      <c r="Z31" s="49"/>
      <c r="AA31" s="49"/>
      <c r="AB31" s="22"/>
      <c r="AC31" s="22"/>
      <c r="AD31" s="22">
        <f t="shared" si="4"/>
        <v>-6.8960382330204197</v>
      </c>
      <c r="AE31" s="22"/>
      <c r="AF31" s="22"/>
      <c r="AG31" s="22"/>
      <c r="AH31" s="22"/>
      <c r="AI31" s="9"/>
      <c r="AJ31" s="43">
        <f t="shared" si="5"/>
        <v>0</v>
      </c>
      <c r="AK31" s="50"/>
    </row>
    <row r="32" spans="1:37" ht="16" x14ac:dyDescent="0.2">
      <c r="A32" s="7"/>
      <c r="B32" s="7"/>
      <c r="C32" s="245"/>
      <c r="D32" s="248">
        <v>35.799999999999997</v>
      </c>
      <c r="E32" s="248">
        <v>33.299999999999997</v>
      </c>
      <c r="F32" s="248"/>
      <c r="G32" s="45"/>
      <c r="J32" s="46"/>
      <c r="K32" s="7"/>
      <c r="L32" s="17">
        <f t="shared" si="1"/>
        <v>-2.5</v>
      </c>
      <c r="M32" s="17" t="str">
        <f t="shared" si="1"/>
        <v>delete</v>
      </c>
      <c r="N32" s="17" t="str">
        <f t="shared" si="1"/>
        <v>delete</v>
      </c>
      <c r="O32" s="17" t="str">
        <f t="shared" si="1"/>
        <v>delete</v>
      </c>
      <c r="P32" s="17" t="str">
        <f t="shared" si="1"/>
        <v>delete</v>
      </c>
      <c r="Q32" s="7"/>
      <c r="R32" s="47">
        <f t="shared" si="2"/>
        <v>1</v>
      </c>
      <c r="S32" s="48"/>
      <c r="T32" s="9"/>
      <c r="U32" s="18" t="s">
        <v>56</v>
      </c>
      <c r="V32" s="49">
        <f t="shared" si="3"/>
        <v>357.79478934066543</v>
      </c>
      <c r="W32" s="49">
        <f t="shared" si="3"/>
        <v>350.5557396986398</v>
      </c>
      <c r="X32" s="49" t="e">
        <f t="shared" si="3"/>
        <v>#NUM!</v>
      </c>
      <c r="Y32" s="49" t="e">
        <f t="shared" si="3"/>
        <v>#NUM!</v>
      </c>
      <c r="Z32" s="49" t="e">
        <f t="shared" si="3"/>
        <v>#NUM!</v>
      </c>
      <c r="AA32" s="49" t="e">
        <f t="shared" si="3"/>
        <v>#NUM!</v>
      </c>
      <c r="AB32" s="22"/>
      <c r="AC32" s="22"/>
      <c r="AD32" s="22">
        <f t="shared" si="4"/>
        <v>-7.2390496420256341</v>
      </c>
      <c r="AE32" s="22" t="str">
        <f t="shared" si="4"/>
        <v>delete</v>
      </c>
      <c r="AF32" s="22" t="str">
        <f t="shared" si="4"/>
        <v>delete</v>
      </c>
      <c r="AG32" s="22" t="str">
        <f t="shared" si="4"/>
        <v>delete</v>
      </c>
      <c r="AH32" s="22" t="str">
        <f t="shared" si="4"/>
        <v>delete</v>
      </c>
      <c r="AI32" s="9"/>
      <c r="AJ32" s="43" t="e">
        <f t="shared" si="5"/>
        <v>#NUM!</v>
      </c>
      <c r="AK32" s="50"/>
    </row>
    <row r="33" spans="1:37" ht="16" x14ac:dyDescent="0.15">
      <c r="A33" s="7"/>
      <c r="B33" s="7"/>
      <c r="C33" s="245"/>
      <c r="D33" s="247">
        <v>25.94</v>
      </c>
      <c r="E33" s="249">
        <v>25.2</v>
      </c>
      <c r="F33" s="247"/>
      <c r="G33" s="45"/>
      <c r="J33" s="46"/>
      <c r="K33" s="7"/>
      <c r="L33" s="17">
        <f t="shared" si="1"/>
        <v>-0.74000000000000199</v>
      </c>
      <c r="M33" s="17" t="str">
        <f t="shared" si="1"/>
        <v>delete</v>
      </c>
      <c r="N33" s="17" t="str">
        <f t="shared" si="1"/>
        <v>delete</v>
      </c>
      <c r="O33" s="17" t="str">
        <f t="shared" si="1"/>
        <v>delete</v>
      </c>
      <c r="P33" s="17" t="str">
        <f t="shared" si="1"/>
        <v>delete</v>
      </c>
      <c r="Q33" s="7"/>
      <c r="R33" s="47">
        <f t="shared" si="2"/>
        <v>1</v>
      </c>
      <c r="S33" s="48"/>
      <c r="T33" s="9"/>
      <c r="U33" s="18" t="s">
        <v>57</v>
      </c>
      <c r="V33" s="49">
        <f t="shared" si="3"/>
        <v>325.5786178888298</v>
      </c>
      <c r="W33" s="49">
        <f t="shared" si="3"/>
        <v>322.68439945173776</v>
      </c>
      <c r="X33" s="49" t="e">
        <f t="shared" si="3"/>
        <v>#NUM!</v>
      </c>
      <c r="Y33" s="49" t="e">
        <f t="shared" si="3"/>
        <v>#NUM!</v>
      </c>
      <c r="Z33" s="49" t="e">
        <f t="shared" si="3"/>
        <v>#NUM!</v>
      </c>
      <c r="AA33" s="49" t="e">
        <f t="shared" si="3"/>
        <v>#NUM!</v>
      </c>
      <c r="AB33" s="22"/>
      <c r="AC33" s="22"/>
      <c r="AD33" s="22">
        <f t="shared" si="4"/>
        <v>-2.8942184370920359</v>
      </c>
      <c r="AE33" s="22" t="str">
        <f t="shared" si="4"/>
        <v>delete</v>
      </c>
      <c r="AF33" s="22" t="str">
        <f t="shared" si="4"/>
        <v>delete</v>
      </c>
      <c r="AG33" s="22" t="str">
        <f t="shared" si="4"/>
        <v>delete</v>
      </c>
      <c r="AH33" s="22" t="str">
        <f t="shared" si="4"/>
        <v>delete</v>
      </c>
      <c r="AI33" s="9"/>
      <c r="AJ33" s="43" t="e">
        <f t="shared" si="5"/>
        <v>#NUM!</v>
      </c>
      <c r="AK33" s="50"/>
    </row>
    <row r="34" spans="1:37" ht="16" x14ac:dyDescent="0.15">
      <c r="A34" s="7"/>
      <c r="B34" s="7"/>
      <c r="C34" s="245"/>
      <c r="D34" s="247">
        <v>27.38</v>
      </c>
      <c r="E34" s="247">
        <v>30.43</v>
      </c>
      <c r="F34" s="247"/>
      <c r="G34" s="45"/>
      <c r="J34" s="46"/>
      <c r="K34" s="7"/>
      <c r="L34" s="17">
        <f t="shared" si="1"/>
        <v>3.0500000000000007</v>
      </c>
      <c r="M34" s="17" t="str">
        <f t="shared" si="1"/>
        <v>delete</v>
      </c>
      <c r="N34" s="17" t="str">
        <f t="shared" si="1"/>
        <v>delete</v>
      </c>
      <c r="O34" s="17" t="str">
        <f t="shared" si="1"/>
        <v>delete</v>
      </c>
      <c r="P34" s="17" t="str">
        <f t="shared" si="1"/>
        <v>delete</v>
      </c>
      <c r="Q34" s="7"/>
      <c r="R34" s="47">
        <f t="shared" si="2"/>
        <v>1</v>
      </c>
      <c r="S34" s="48"/>
      <c r="T34" s="9"/>
      <c r="U34" s="18" t="s">
        <v>58</v>
      </c>
      <c r="V34" s="49">
        <f t="shared" si="3"/>
        <v>330.9812819860303</v>
      </c>
      <c r="W34" s="49">
        <f t="shared" si="3"/>
        <v>341.54289639088796</v>
      </c>
      <c r="X34" s="49" t="e">
        <f t="shared" si="3"/>
        <v>#NUM!</v>
      </c>
      <c r="Y34" s="49" t="e">
        <f t="shared" si="3"/>
        <v>#NUM!</v>
      </c>
      <c r="Z34" s="49" t="e">
        <f t="shared" si="3"/>
        <v>#NUM!</v>
      </c>
      <c r="AA34" s="49" t="e">
        <f t="shared" si="3"/>
        <v>#NUM!</v>
      </c>
      <c r="AB34" s="22"/>
      <c r="AC34" s="22"/>
      <c r="AD34" s="22">
        <f t="shared" si="4"/>
        <v>10.561614404857664</v>
      </c>
      <c r="AE34" s="22" t="str">
        <f t="shared" si="4"/>
        <v>delete</v>
      </c>
      <c r="AF34" s="22" t="str">
        <f t="shared" si="4"/>
        <v>delete</v>
      </c>
      <c r="AG34" s="22" t="str">
        <f t="shared" si="4"/>
        <v>delete</v>
      </c>
      <c r="AH34" s="22" t="str">
        <f t="shared" si="4"/>
        <v>delete</v>
      </c>
      <c r="AI34" s="9"/>
      <c r="AJ34" s="43" t="e">
        <f t="shared" si="5"/>
        <v>#NUM!</v>
      </c>
      <c r="AK34" s="50"/>
    </row>
    <row r="35" spans="1:37" ht="16" x14ac:dyDescent="0.2">
      <c r="A35" s="7"/>
      <c r="B35" s="7"/>
      <c r="C35" s="245"/>
      <c r="D35" s="248">
        <v>29.62</v>
      </c>
      <c r="E35" s="248">
        <v>29.87</v>
      </c>
      <c r="F35" s="248"/>
      <c r="G35" s="45"/>
      <c r="J35" s="46"/>
      <c r="K35" s="7"/>
      <c r="L35" s="17">
        <f t="shared" si="1"/>
        <v>0.25</v>
      </c>
      <c r="M35" s="17" t="str">
        <f t="shared" si="1"/>
        <v>delete</v>
      </c>
      <c r="N35" s="17" t="str">
        <f t="shared" si="1"/>
        <v>delete</v>
      </c>
      <c r="O35" s="17" t="str">
        <f t="shared" si="1"/>
        <v>delete</v>
      </c>
      <c r="P35" s="17" t="str">
        <f t="shared" si="1"/>
        <v>delete</v>
      </c>
      <c r="Q35" s="7"/>
      <c r="R35" s="47">
        <f t="shared" si="2"/>
        <v>1</v>
      </c>
      <c r="S35" s="48"/>
      <c r="T35" s="9"/>
      <c r="U35" s="18" t="s">
        <v>59</v>
      </c>
      <c r="V35" s="49">
        <f t="shared" si="3"/>
        <v>338.84498088396526</v>
      </c>
      <c r="W35" s="49">
        <f t="shared" si="3"/>
        <v>339.68546322280184</v>
      </c>
      <c r="X35" s="49" t="e">
        <f t="shared" si="3"/>
        <v>#NUM!</v>
      </c>
      <c r="Y35" s="49" t="e">
        <f t="shared" si="3"/>
        <v>#NUM!</v>
      </c>
      <c r="Z35" s="49" t="e">
        <f t="shared" si="3"/>
        <v>#NUM!</v>
      </c>
      <c r="AA35" s="49" t="e">
        <f t="shared" si="3"/>
        <v>#NUM!</v>
      </c>
      <c r="AB35" s="22"/>
      <c r="AC35" s="22"/>
      <c r="AD35" s="22">
        <f t="shared" si="4"/>
        <v>0.84048233883657986</v>
      </c>
      <c r="AE35" s="22" t="str">
        <f t="shared" si="4"/>
        <v>delete</v>
      </c>
      <c r="AF35" s="22" t="str">
        <f t="shared" si="4"/>
        <v>delete</v>
      </c>
      <c r="AG35" s="22" t="str">
        <f t="shared" si="4"/>
        <v>delete</v>
      </c>
      <c r="AH35" s="22" t="str">
        <f t="shared" si="4"/>
        <v>delete</v>
      </c>
      <c r="AI35" s="9"/>
      <c r="AJ35" s="43" t="e">
        <f t="shared" si="5"/>
        <v>#NUM!</v>
      </c>
      <c r="AK35" s="50"/>
    </row>
    <row r="36" spans="1:37" ht="16" x14ac:dyDescent="0.15">
      <c r="A36" s="7"/>
      <c r="B36" s="7"/>
      <c r="C36" s="245"/>
      <c r="D36" s="247">
        <v>18.21</v>
      </c>
      <c r="E36" s="247">
        <v>24.01</v>
      </c>
      <c r="F36" s="247"/>
      <c r="G36" s="45"/>
      <c r="J36" s="46"/>
      <c r="K36" s="7"/>
      <c r="L36" s="17">
        <f t="shared" si="1"/>
        <v>5.8000000000000007</v>
      </c>
      <c r="M36" s="17" t="str">
        <f t="shared" si="1"/>
        <v>delete</v>
      </c>
      <c r="N36" s="17" t="str">
        <f t="shared" si="1"/>
        <v>delete</v>
      </c>
      <c r="O36" s="17" t="str">
        <f t="shared" si="1"/>
        <v>delete</v>
      </c>
      <c r="P36" s="17" t="str">
        <f t="shared" si="1"/>
        <v>delete</v>
      </c>
      <c r="Q36" s="7"/>
      <c r="R36" s="47">
        <f t="shared" si="2"/>
        <v>1</v>
      </c>
      <c r="S36" s="48"/>
      <c r="T36" s="9"/>
      <c r="U36" s="18" t="s">
        <v>60</v>
      </c>
      <c r="V36" s="49">
        <f t="shared" si="3"/>
        <v>290.19708937395166</v>
      </c>
      <c r="W36" s="49">
        <f t="shared" si="3"/>
        <v>317.84704102331619</v>
      </c>
      <c r="X36" s="49" t="e">
        <f t="shared" si="3"/>
        <v>#NUM!</v>
      </c>
      <c r="Y36" s="49" t="e">
        <f t="shared" si="3"/>
        <v>#NUM!</v>
      </c>
      <c r="Z36" s="49" t="e">
        <f t="shared" si="3"/>
        <v>#NUM!</v>
      </c>
      <c r="AA36" s="49" t="e">
        <f t="shared" si="3"/>
        <v>#NUM!</v>
      </c>
      <c r="AB36" s="22"/>
      <c r="AC36" s="22"/>
      <c r="AD36" s="22">
        <f t="shared" si="4"/>
        <v>27.649951649364539</v>
      </c>
      <c r="AE36" s="22" t="str">
        <f t="shared" si="4"/>
        <v>delete</v>
      </c>
      <c r="AF36" s="22" t="str">
        <f t="shared" si="4"/>
        <v>delete</v>
      </c>
      <c r="AG36" s="22" t="str">
        <f t="shared" si="4"/>
        <v>delete</v>
      </c>
      <c r="AH36" s="22" t="str">
        <f t="shared" si="4"/>
        <v>delete</v>
      </c>
      <c r="AI36" s="9"/>
      <c r="AJ36" s="43" t="e">
        <f t="shared" si="5"/>
        <v>#NUM!</v>
      </c>
      <c r="AK36" s="50"/>
    </row>
    <row r="37" spans="1:37" ht="16" x14ac:dyDescent="0.15">
      <c r="A37" s="7"/>
      <c r="B37" s="7"/>
      <c r="C37" s="245"/>
      <c r="D37" s="247">
        <v>25.51</v>
      </c>
      <c r="E37" s="247">
        <v>26.07</v>
      </c>
      <c r="F37" s="247"/>
      <c r="G37" s="45"/>
      <c r="J37" s="46"/>
      <c r="K37" s="7"/>
      <c r="L37" s="17">
        <f t="shared" si="1"/>
        <v>0.55999999999999872</v>
      </c>
      <c r="M37" s="17" t="str">
        <f t="shared" si="1"/>
        <v>delete</v>
      </c>
      <c r="N37" s="17" t="str">
        <f t="shared" si="1"/>
        <v>delete</v>
      </c>
      <c r="O37" s="17" t="str">
        <f t="shared" si="1"/>
        <v>delete</v>
      </c>
      <c r="P37" s="17" t="str">
        <f t="shared" si="1"/>
        <v>delete</v>
      </c>
      <c r="Q37" s="7"/>
      <c r="R37" s="47">
        <f t="shared" si="2"/>
        <v>1</v>
      </c>
      <c r="S37" s="48"/>
      <c r="T37" s="9"/>
      <c r="U37" s="18" t="s">
        <v>61</v>
      </c>
      <c r="V37" s="49">
        <f t="shared" si="3"/>
        <v>323.907053215372</v>
      </c>
      <c r="W37" s="49">
        <f t="shared" si="3"/>
        <v>326.07852279454102</v>
      </c>
      <c r="X37" s="49" t="e">
        <f t="shared" si="3"/>
        <v>#NUM!</v>
      </c>
      <c r="Y37" s="49" t="e">
        <f t="shared" si="3"/>
        <v>#NUM!</v>
      </c>
      <c r="Z37" s="49" t="e">
        <f t="shared" si="3"/>
        <v>#NUM!</v>
      </c>
      <c r="AA37" s="49" t="e">
        <f t="shared" si="3"/>
        <v>#NUM!</v>
      </c>
      <c r="AB37" s="22"/>
      <c r="AC37" s="22"/>
      <c r="AD37" s="22">
        <f t="shared" si="4"/>
        <v>2.1714695791690133</v>
      </c>
      <c r="AE37" s="22" t="str">
        <f t="shared" si="4"/>
        <v>delete</v>
      </c>
      <c r="AF37" s="22" t="str">
        <f t="shared" si="4"/>
        <v>delete</v>
      </c>
      <c r="AG37" s="22" t="str">
        <f t="shared" si="4"/>
        <v>delete</v>
      </c>
      <c r="AH37" s="22" t="str">
        <f t="shared" si="4"/>
        <v>delete</v>
      </c>
      <c r="AI37" s="9"/>
      <c r="AJ37" s="43" t="e">
        <f t="shared" si="5"/>
        <v>#NUM!</v>
      </c>
      <c r="AK37" s="50"/>
    </row>
    <row r="38" spans="1:37" ht="16" x14ac:dyDescent="0.15">
      <c r="A38" s="7"/>
      <c r="B38" s="7"/>
      <c r="C38" s="245"/>
      <c r="D38" s="247">
        <v>29.46</v>
      </c>
      <c r="E38" s="247">
        <v>29.44</v>
      </c>
      <c r="F38" s="247"/>
      <c r="G38" s="45"/>
      <c r="J38" s="46"/>
      <c r="K38" s="7"/>
      <c r="L38" s="17">
        <f t="shared" si="1"/>
        <v>-1.9999999999999574E-2</v>
      </c>
      <c r="M38" s="17" t="str">
        <f t="shared" si="1"/>
        <v>delete</v>
      </c>
      <c r="N38" s="17" t="str">
        <f t="shared" si="1"/>
        <v>delete</v>
      </c>
      <c r="O38" s="17" t="str">
        <f t="shared" si="1"/>
        <v>delete</v>
      </c>
      <c r="P38" s="17" t="str">
        <f t="shared" si="1"/>
        <v>delete</v>
      </c>
      <c r="Q38" s="7"/>
      <c r="R38" s="47">
        <f t="shared" si="2"/>
        <v>1</v>
      </c>
      <c r="S38" s="48"/>
      <c r="T38" s="9"/>
      <c r="U38" s="18" t="s">
        <v>62</v>
      </c>
      <c r="V38" s="49">
        <f t="shared" si="3"/>
        <v>338.30334110344842</v>
      </c>
      <c r="W38" s="49">
        <f t="shared" si="3"/>
        <v>338.23542938606755</v>
      </c>
      <c r="X38" s="49" t="e">
        <f t="shared" si="3"/>
        <v>#NUM!</v>
      </c>
      <c r="Y38" s="49" t="e">
        <f t="shared" si="3"/>
        <v>#NUM!</v>
      </c>
      <c r="Z38" s="49" t="e">
        <f t="shared" si="3"/>
        <v>#NUM!</v>
      </c>
      <c r="AA38" s="49" t="e">
        <f t="shared" si="3"/>
        <v>#NUM!</v>
      </c>
      <c r="AB38" s="22"/>
      <c r="AC38" s="22"/>
      <c r="AD38" s="22">
        <f t="shared" si="4"/>
        <v>-6.7911717380866321E-2</v>
      </c>
      <c r="AE38" s="22" t="str">
        <f t="shared" si="4"/>
        <v>delete</v>
      </c>
      <c r="AF38" s="22" t="str">
        <f t="shared" si="4"/>
        <v>delete</v>
      </c>
      <c r="AG38" s="22" t="str">
        <f t="shared" si="4"/>
        <v>delete</v>
      </c>
      <c r="AH38" s="22" t="str">
        <f t="shared" si="4"/>
        <v>delete</v>
      </c>
      <c r="AI38" s="9"/>
      <c r="AJ38" s="43" t="e">
        <f t="shared" si="5"/>
        <v>#NUM!</v>
      </c>
      <c r="AK38" s="50"/>
    </row>
    <row r="39" spans="1:37" ht="16" x14ac:dyDescent="0.15">
      <c r="A39" s="7"/>
      <c r="B39" s="7"/>
      <c r="C39" s="245"/>
      <c r="D39" s="247">
        <v>33.24</v>
      </c>
      <c r="E39" s="247">
        <v>34.049999999999997</v>
      </c>
      <c r="F39" s="247"/>
      <c r="G39" s="45"/>
      <c r="J39" s="46"/>
      <c r="K39" s="7"/>
      <c r="L39" s="17">
        <f t="shared" si="1"/>
        <v>0.80999999999999517</v>
      </c>
      <c r="M39" s="17" t="str">
        <f t="shared" si="1"/>
        <v>delete</v>
      </c>
      <c r="N39" s="17" t="str">
        <f t="shared" si="1"/>
        <v>delete</v>
      </c>
      <c r="O39" s="17" t="str">
        <f t="shared" si="1"/>
        <v>delete</v>
      </c>
      <c r="P39" s="17" t="str">
        <f t="shared" si="1"/>
        <v>delete</v>
      </c>
      <c r="Q39" s="7"/>
      <c r="R39" s="47">
        <f t="shared" si="2"/>
        <v>1</v>
      </c>
      <c r="S39" s="48"/>
      <c r="T39" s="9"/>
      <c r="U39" s="18" t="s">
        <v>63</v>
      </c>
      <c r="V39" s="49">
        <f t="shared" si="3"/>
        <v>350.37539699872474</v>
      </c>
      <c r="W39" s="49">
        <f t="shared" si="3"/>
        <v>352.78300325955212</v>
      </c>
      <c r="X39" s="49" t="e">
        <f t="shared" si="3"/>
        <v>#NUM!</v>
      </c>
      <c r="Y39" s="49" t="e">
        <f t="shared" si="3"/>
        <v>#NUM!</v>
      </c>
      <c r="Z39" s="49" t="e">
        <f t="shared" si="3"/>
        <v>#NUM!</v>
      </c>
      <c r="AA39" s="49" t="e">
        <f t="shared" si="3"/>
        <v>#NUM!</v>
      </c>
      <c r="AB39" s="22"/>
      <c r="AC39" s="22"/>
      <c r="AD39" s="22">
        <f t="shared" si="4"/>
        <v>2.4076062608273787</v>
      </c>
      <c r="AE39" s="22" t="str">
        <f t="shared" si="4"/>
        <v>delete</v>
      </c>
      <c r="AF39" s="22" t="str">
        <f t="shared" si="4"/>
        <v>delete</v>
      </c>
      <c r="AG39" s="22" t="str">
        <f t="shared" si="4"/>
        <v>delete</v>
      </c>
      <c r="AH39" s="22" t="str">
        <f t="shared" si="4"/>
        <v>delete</v>
      </c>
      <c r="AI39" s="9"/>
      <c r="AJ39" s="43" t="e">
        <f t="shared" si="5"/>
        <v>#NUM!</v>
      </c>
      <c r="AK39" s="50"/>
    </row>
    <row r="40" spans="1:37" ht="16" x14ac:dyDescent="0.15">
      <c r="A40" s="7"/>
      <c r="B40" s="7"/>
      <c r="C40" s="245"/>
      <c r="D40" s="247">
        <v>36.549999999999997</v>
      </c>
      <c r="E40" s="247">
        <v>41.04</v>
      </c>
      <c r="F40" s="247"/>
      <c r="G40" s="45"/>
      <c r="J40" s="46"/>
      <c r="K40" s="7"/>
      <c r="L40" s="17">
        <f t="shared" si="1"/>
        <v>4.490000000000002</v>
      </c>
      <c r="M40" s="17" t="str">
        <f t="shared" si="1"/>
        <v>delete</v>
      </c>
      <c r="N40" s="17" t="str">
        <f t="shared" si="1"/>
        <v>delete</v>
      </c>
      <c r="O40" s="17" t="str">
        <f t="shared" si="1"/>
        <v>delete</v>
      </c>
      <c r="P40" s="17" t="str">
        <f t="shared" si="1"/>
        <v>delete</v>
      </c>
      <c r="Q40" s="7"/>
      <c r="R40" s="47">
        <f t="shared" si="2"/>
        <v>1</v>
      </c>
      <c r="S40" s="48"/>
      <c r="T40" s="9"/>
      <c r="U40" s="18" t="s">
        <v>64</v>
      </c>
      <c r="V40" s="49">
        <f t="shared" si="3"/>
        <v>359.86811861957875</v>
      </c>
      <c r="W40" s="49">
        <f t="shared" si="3"/>
        <v>371.45472008625143</v>
      </c>
      <c r="X40" s="49" t="e">
        <f t="shared" si="3"/>
        <v>#NUM!</v>
      </c>
      <c r="Y40" s="49" t="e">
        <f t="shared" si="3"/>
        <v>#NUM!</v>
      </c>
      <c r="Z40" s="49" t="e">
        <f t="shared" si="3"/>
        <v>#NUM!</v>
      </c>
      <c r="AA40" s="49" t="e">
        <f t="shared" si="3"/>
        <v>#NUM!</v>
      </c>
      <c r="AB40" s="22"/>
      <c r="AC40" s="22"/>
      <c r="AD40" s="22">
        <f t="shared" si="4"/>
        <v>11.586601466672676</v>
      </c>
      <c r="AE40" s="22" t="str">
        <f t="shared" si="4"/>
        <v>delete</v>
      </c>
      <c r="AF40" s="22" t="str">
        <f t="shared" si="4"/>
        <v>delete</v>
      </c>
      <c r="AG40" s="22" t="str">
        <f t="shared" si="4"/>
        <v>delete</v>
      </c>
      <c r="AH40" s="22" t="str">
        <f t="shared" si="4"/>
        <v>delete</v>
      </c>
      <c r="AI40" s="9"/>
      <c r="AJ40" s="43" t="e">
        <f t="shared" si="5"/>
        <v>#NUM!</v>
      </c>
      <c r="AK40" s="50"/>
    </row>
    <row r="41" spans="1:37" ht="16" x14ac:dyDescent="0.2">
      <c r="A41" s="7"/>
      <c r="B41" s="7"/>
      <c r="C41" s="245"/>
      <c r="D41" s="248">
        <v>28.81</v>
      </c>
      <c r="E41" s="248">
        <v>28.94</v>
      </c>
      <c r="F41" s="248"/>
      <c r="G41" s="45"/>
      <c r="J41" s="46"/>
      <c r="K41" s="7"/>
      <c r="L41" s="17">
        <f t="shared" si="1"/>
        <v>0.13000000000000256</v>
      </c>
      <c r="M41" s="17" t="str">
        <f t="shared" si="1"/>
        <v>delete</v>
      </c>
      <c r="N41" s="17" t="str">
        <f t="shared" si="1"/>
        <v>delete</v>
      </c>
      <c r="O41" s="17" t="str">
        <f t="shared" si="1"/>
        <v>delete</v>
      </c>
      <c r="P41" s="17" t="str">
        <f t="shared" si="1"/>
        <v>delete</v>
      </c>
      <c r="Q41" s="7"/>
      <c r="R41" s="47">
        <f t="shared" si="2"/>
        <v>1</v>
      </c>
      <c r="S41" s="48"/>
      <c r="T41" s="9"/>
      <c r="U41" s="18" t="s">
        <v>65</v>
      </c>
      <c r="V41" s="49">
        <f t="shared" si="3"/>
        <v>336.07225490964373</v>
      </c>
      <c r="W41" s="49">
        <f t="shared" si="3"/>
        <v>336.52247212033382</v>
      </c>
      <c r="X41" s="49" t="e">
        <f t="shared" si="3"/>
        <v>#NUM!</v>
      </c>
      <c r="Y41" s="49" t="e">
        <f t="shared" si="3"/>
        <v>#NUM!</v>
      </c>
      <c r="Z41" s="49" t="e">
        <f t="shared" si="3"/>
        <v>#NUM!</v>
      </c>
      <c r="AA41" s="49" t="e">
        <f t="shared" si="3"/>
        <v>#NUM!</v>
      </c>
      <c r="AB41" s="22"/>
      <c r="AC41" s="22"/>
      <c r="AD41" s="22">
        <f t="shared" si="4"/>
        <v>0.45021721069008436</v>
      </c>
      <c r="AE41" s="22" t="str">
        <f t="shared" si="4"/>
        <v>delete</v>
      </c>
      <c r="AF41" s="22" t="str">
        <f t="shared" si="4"/>
        <v>delete</v>
      </c>
      <c r="AG41" s="22" t="str">
        <f t="shared" si="4"/>
        <v>delete</v>
      </c>
      <c r="AH41" s="22" t="str">
        <f t="shared" si="4"/>
        <v>delete</v>
      </c>
      <c r="AI41" s="9"/>
      <c r="AJ41" s="43" t="e">
        <f t="shared" si="5"/>
        <v>#NUM!</v>
      </c>
      <c r="AK41" s="50"/>
    </row>
    <row r="42" spans="1:37" ht="16" x14ac:dyDescent="0.15">
      <c r="A42" s="7"/>
      <c r="B42" s="7"/>
      <c r="C42" s="245"/>
      <c r="D42" s="247">
        <v>31.81</v>
      </c>
      <c r="E42" s="247">
        <v>29.19</v>
      </c>
      <c r="F42" s="247"/>
      <c r="G42" s="45"/>
      <c r="J42" s="46"/>
      <c r="K42" s="7"/>
      <c r="L42" s="17">
        <f t="shared" si="1"/>
        <v>-2.6199999999999974</v>
      </c>
      <c r="M42" s="17" t="str">
        <f t="shared" si="1"/>
        <v>delete</v>
      </c>
      <c r="N42" s="17" t="str">
        <f t="shared" si="1"/>
        <v>delete</v>
      </c>
      <c r="O42" s="17" t="str">
        <f t="shared" si="1"/>
        <v>delete</v>
      </c>
      <c r="P42" s="17" t="str">
        <f t="shared" si="1"/>
        <v>delete</v>
      </c>
      <c r="Q42" s="7"/>
      <c r="R42" s="47">
        <f t="shared" si="2"/>
        <v>1</v>
      </c>
      <c r="S42" s="48"/>
      <c r="T42" s="9"/>
      <c r="U42" s="18" t="s">
        <v>66</v>
      </c>
      <c r="V42" s="49">
        <f t="shared" si="3"/>
        <v>345.97807057610527</v>
      </c>
      <c r="W42" s="49">
        <f t="shared" si="3"/>
        <v>337.38261848660238</v>
      </c>
      <c r="X42" s="49" t="e">
        <f t="shared" si="3"/>
        <v>#NUM!</v>
      </c>
      <c r="Y42" s="49" t="e">
        <f t="shared" si="3"/>
        <v>#NUM!</v>
      </c>
      <c r="Z42" s="49" t="e">
        <f t="shared" si="3"/>
        <v>#NUM!</v>
      </c>
      <c r="AA42" s="49" t="e">
        <f t="shared" si="3"/>
        <v>#NUM!</v>
      </c>
      <c r="AB42" s="22"/>
      <c r="AC42" s="22"/>
      <c r="AD42" s="22">
        <f t="shared" si="4"/>
        <v>-8.595452089502885</v>
      </c>
      <c r="AE42" s="22" t="str">
        <f t="shared" si="4"/>
        <v>delete</v>
      </c>
      <c r="AF42" s="22" t="str">
        <f t="shared" si="4"/>
        <v>delete</v>
      </c>
      <c r="AG42" s="22" t="str">
        <f t="shared" si="4"/>
        <v>delete</v>
      </c>
      <c r="AH42" s="22" t="str">
        <f t="shared" si="4"/>
        <v>delete</v>
      </c>
      <c r="AI42" s="9"/>
      <c r="AJ42" s="43" t="e">
        <f t="shared" si="5"/>
        <v>#NUM!</v>
      </c>
      <c r="AK42" s="50"/>
    </row>
    <row r="43" spans="1:37" ht="16" x14ac:dyDescent="0.15">
      <c r="A43" s="7"/>
      <c r="B43" s="7"/>
      <c r="C43" s="245"/>
      <c r="D43" s="247">
        <v>24.26</v>
      </c>
      <c r="E43" s="247">
        <v>23.45</v>
      </c>
      <c r="F43" s="247"/>
      <c r="G43" s="45"/>
      <c r="J43" s="46"/>
      <c r="K43" s="7"/>
      <c r="L43" s="17">
        <f t="shared" si="1"/>
        <v>-0.81000000000000227</v>
      </c>
      <c r="M43" s="17" t="str">
        <f t="shared" si="1"/>
        <v>delete</v>
      </c>
      <c r="N43" s="17" t="str">
        <f t="shared" si="1"/>
        <v>delete</v>
      </c>
      <c r="O43" s="17" t="str">
        <f t="shared" si="1"/>
        <v>delete</v>
      </c>
      <c r="P43" s="17" t="str">
        <f t="shared" si="1"/>
        <v>delete</v>
      </c>
      <c r="Q43" s="7"/>
      <c r="R43" s="47">
        <f t="shared" si="2"/>
        <v>1</v>
      </c>
      <c r="S43" s="48"/>
      <c r="T43" s="9"/>
      <c r="U43" s="18" t="s">
        <v>67</v>
      </c>
      <c r="V43" s="49">
        <f t="shared" si="3"/>
        <v>318.88289035159045</v>
      </c>
      <c r="W43" s="49">
        <f t="shared" si="3"/>
        <v>315.48704948922881</v>
      </c>
      <c r="X43" s="49" t="e">
        <f t="shared" si="3"/>
        <v>#NUM!</v>
      </c>
      <c r="Y43" s="49" t="e">
        <f t="shared" si="3"/>
        <v>#NUM!</v>
      </c>
      <c r="Z43" s="49" t="e">
        <f t="shared" si="3"/>
        <v>#NUM!</v>
      </c>
      <c r="AA43" s="49" t="e">
        <f t="shared" si="3"/>
        <v>#NUM!</v>
      </c>
      <c r="AB43" s="22"/>
      <c r="AC43" s="22"/>
      <c r="AD43" s="22">
        <f t="shared" si="4"/>
        <v>-3.3958408623616378</v>
      </c>
      <c r="AE43" s="22" t="str">
        <f t="shared" si="4"/>
        <v>delete</v>
      </c>
      <c r="AF43" s="22" t="str">
        <f t="shared" si="4"/>
        <v>delete</v>
      </c>
      <c r="AG43" s="22" t="str">
        <f t="shared" si="4"/>
        <v>delete</v>
      </c>
      <c r="AH43" s="22" t="str">
        <f t="shared" si="4"/>
        <v>delete</v>
      </c>
      <c r="AI43" s="9"/>
      <c r="AJ43" s="43" t="e">
        <f t="shared" si="5"/>
        <v>#NUM!</v>
      </c>
      <c r="AK43" s="50"/>
    </row>
    <row r="44" spans="1:37" ht="16" x14ac:dyDescent="0.2">
      <c r="A44" s="7"/>
      <c r="B44" s="7"/>
      <c r="C44" s="245"/>
      <c r="D44" s="248">
        <v>24.76</v>
      </c>
      <c r="E44" s="248">
        <v>32.49</v>
      </c>
      <c r="F44" s="248"/>
      <c r="G44" s="45"/>
      <c r="J44" s="46"/>
      <c r="K44" s="7"/>
      <c r="L44" s="17">
        <f t="shared" si="1"/>
        <v>7.73</v>
      </c>
      <c r="M44" s="17" t="str">
        <f t="shared" si="1"/>
        <v>delete</v>
      </c>
      <c r="N44" s="17" t="str">
        <f t="shared" si="1"/>
        <v>delete</v>
      </c>
      <c r="O44" s="17" t="str">
        <f t="shared" si="1"/>
        <v>delete</v>
      </c>
      <c r="P44" s="17" t="str">
        <f t="shared" si="1"/>
        <v>delete</v>
      </c>
      <c r="Q44" s="7"/>
      <c r="R44" s="47">
        <f t="shared" si="2"/>
        <v>1</v>
      </c>
      <c r="S44" s="48"/>
      <c r="T44" s="9"/>
      <c r="U44" s="18" t="s">
        <v>68</v>
      </c>
      <c r="V44" s="49">
        <f t="shared" si="3"/>
        <v>320.92294478163956</v>
      </c>
      <c r="W44" s="49">
        <f t="shared" si="3"/>
        <v>348.09323496810094</v>
      </c>
      <c r="X44" s="49" t="e">
        <f t="shared" si="3"/>
        <v>#NUM!</v>
      </c>
      <c r="Y44" s="49" t="e">
        <f t="shared" si="3"/>
        <v>#NUM!</v>
      </c>
      <c r="Z44" s="49" t="e">
        <f t="shared" si="3"/>
        <v>#NUM!</v>
      </c>
      <c r="AA44" s="49" t="e">
        <f t="shared" si="3"/>
        <v>#NUM!</v>
      </c>
      <c r="AB44" s="22"/>
      <c r="AC44" s="22"/>
      <c r="AD44" s="22">
        <f t="shared" si="4"/>
        <v>27.170290186461386</v>
      </c>
      <c r="AE44" s="22" t="str">
        <f t="shared" si="4"/>
        <v>delete</v>
      </c>
      <c r="AF44" s="22" t="str">
        <f t="shared" si="4"/>
        <v>delete</v>
      </c>
      <c r="AG44" s="22" t="str">
        <f t="shared" si="4"/>
        <v>delete</v>
      </c>
      <c r="AH44" s="22" t="str">
        <f t="shared" si="4"/>
        <v>delete</v>
      </c>
      <c r="AI44" s="9"/>
      <c r="AJ44" s="43" t="e">
        <f t="shared" si="5"/>
        <v>#NUM!</v>
      </c>
      <c r="AK44" s="50"/>
    </row>
    <row r="45" spans="1:37" ht="16" x14ac:dyDescent="0.2">
      <c r="A45" s="7"/>
      <c r="B45" s="7"/>
      <c r="C45" s="245"/>
      <c r="D45" s="248">
        <v>32.869999999999997</v>
      </c>
      <c r="E45" s="248">
        <v>32.06</v>
      </c>
      <c r="F45" s="248"/>
      <c r="G45" s="45"/>
      <c r="J45" s="46"/>
      <c r="K45" s="7"/>
      <c r="L45" s="17">
        <f t="shared" si="1"/>
        <v>-0.80999999999999517</v>
      </c>
      <c r="M45" s="17" t="str">
        <f t="shared" si="1"/>
        <v>delete</v>
      </c>
      <c r="N45" s="17" t="str">
        <f t="shared" si="1"/>
        <v>delete</v>
      </c>
      <c r="O45" s="17" t="str">
        <f t="shared" si="1"/>
        <v>delete</v>
      </c>
      <c r="P45" s="17" t="str">
        <f t="shared" si="1"/>
        <v>delete</v>
      </c>
      <c r="Q45" s="7"/>
      <c r="R45" s="47">
        <f t="shared" si="2"/>
        <v>1</v>
      </c>
      <c r="S45" s="48"/>
      <c r="T45" s="9"/>
      <c r="U45" s="18" t="s">
        <v>69</v>
      </c>
      <c r="V45" s="49" t="e">
        <f>100*LN(#REF!)</f>
        <v>#REF!</v>
      </c>
      <c r="W45" s="49" t="e">
        <f>100*LN(#REF!)</f>
        <v>#REF!</v>
      </c>
      <c r="X45" s="49" t="e">
        <f t="shared" si="3"/>
        <v>#NUM!</v>
      </c>
      <c r="Y45" s="49" t="e">
        <f t="shared" si="3"/>
        <v>#NUM!</v>
      </c>
      <c r="Z45" s="49" t="e">
        <f t="shared" si="3"/>
        <v>#NUM!</v>
      </c>
      <c r="AA45" s="49" t="e">
        <f t="shared" si="3"/>
        <v>#NUM!</v>
      </c>
      <c r="AB45" s="22"/>
      <c r="AC45" s="22"/>
      <c r="AD45" s="22" t="str">
        <f t="shared" si="4"/>
        <v>delete</v>
      </c>
      <c r="AE45" s="22" t="str">
        <f t="shared" si="4"/>
        <v>delete</v>
      </c>
      <c r="AF45" s="22" t="str">
        <f t="shared" si="4"/>
        <v>delete</v>
      </c>
      <c r="AG45" s="22" t="str">
        <f t="shared" si="4"/>
        <v>delete</v>
      </c>
      <c r="AH45" s="22" t="str">
        <f t="shared" si="4"/>
        <v>delete</v>
      </c>
      <c r="AI45" s="9"/>
      <c r="AJ45" s="43" t="e">
        <f t="shared" si="5"/>
        <v>#REF!</v>
      </c>
      <c r="AK45" s="50"/>
    </row>
    <row r="46" spans="1:37" x14ac:dyDescent="0.15">
      <c r="A46" s="7"/>
      <c r="B46" s="7"/>
      <c r="C46" s="51" t="s">
        <v>51</v>
      </c>
      <c r="D46" s="246">
        <f>IF(D48&gt;0,AVERAGE(D30:D45),"")</f>
        <v>30.631250000000001</v>
      </c>
      <c r="E46" s="246">
        <f>IF(E48&gt;0,AVERAGE(E30:E45),"")</f>
        <v>31.2575</v>
      </c>
      <c r="F46" s="246" t="str">
        <f>IF(F48&gt;0,AVERAGE(F30:F45),"")</f>
        <v/>
      </c>
      <c r="G46" s="52" t="str">
        <f>IF(G48&gt;0,AVERAGE(#REF!),"")</f>
        <v/>
      </c>
      <c r="H46" s="52" t="str">
        <f>IF(H48&gt;0,AVERAGE(#REF!),"")</f>
        <v/>
      </c>
      <c r="I46" s="52" t="str">
        <f>IF(I48&gt;0,AVERAGE(#REF!),"")</f>
        <v/>
      </c>
      <c r="J46" s="53">
        <f>SUMPRODUCT(D46:I46,D48:I48)/SUM(D48:I48)</f>
        <v>30.944375000000001</v>
      </c>
      <c r="K46" s="51" t="s">
        <v>70</v>
      </c>
      <c r="L46" s="52">
        <f>IF(ISNUMBER(AVERAGE(L30:L45)),AVERAGE(L30:L45),"")</f>
        <v>0.62625000000000042</v>
      </c>
      <c r="M46" s="52" t="str">
        <f>IF(ISNUMBER(AVERAGE(#REF!)),AVERAGE(#REF!),"")</f>
        <v/>
      </c>
      <c r="N46" s="52" t="str">
        <f>IF(ISNUMBER(AVERAGE(#REF!)),AVERAGE(#REF!),"")</f>
        <v/>
      </c>
      <c r="O46" s="52" t="str">
        <f>IF(ISNUMBER(AVERAGE(#REF!)),AVERAGE(#REF!),"")</f>
        <v/>
      </c>
      <c r="P46" s="54" t="str">
        <f>IF(ISNUMBER(AVERAGE(#REF!)),AVERAGE(#REF!),"")</f>
        <v/>
      </c>
      <c r="Q46" s="17" t="s">
        <v>51</v>
      </c>
      <c r="R46" s="55" t="e">
        <f>COUNTIF(#REF!,1)</f>
        <v>#REF!</v>
      </c>
      <c r="S46" s="48"/>
      <c r="T46" s="9"/>
      <c r="U46" s="56" t="s">
        <v>51</v>
      </c>
      <c r="V46" s="57" t="str">
        <f>IF(V48&gt;0,AVERAGE(#REF!),"")</f>
        <v/>
      </c>
      <c r="W46" s="57" t="str">
        <f>IF(W48&gt;0,AVERAGE(#REF!),"")</f>
        <v/>
      </c>
      <c r="X46" s="57" t="str">
        <f>IF(X48&gt;0,AVERAGE(#REF!),"")</f>
        <v/>
      </c>
      <c r="Y46" s="57" t="str">
        <f>IF(Y48&gt;0,AVERAGE(#REF!),"")</f>
        <v/>
      </c>
      <c r="Z46" s="57" t="str">
        <f>IF(Z48&gt;0,AVERAGE(#REF!),"")</f>
        <v/>
      </c>
      <c r="AA46" s="57" t="str">
        <f>IF(AA48&gt;0,AVERAGE(#REF!),"")</f>
        <v/>
      </c>
      <c r="AB46" s="58" t="e">
        <f>SUMPRODUCT(V46:AA46,V48:AA48)/SUM(V48:AA48)</f>
        <v>#DIV/0!</v>
      </c>
      <c r="AC46" s="56" t="s">
        <v>51</v>
      </c>
      <c r="AD46" s="58" t="str">
        <f>IF(ISNUMBER(AVERAGE(#REF!)),AVERAGE(#REF!),"")</f>
        <v/>
      </c>
      <c r="AE46" s="58" t="str">
        <f>IF(ISNUMBER(AVERAGE(#REF!)),AVERAGE(#REF!),"")</f>
        <v/>
      </c>
      <c r="AF46" s="58" t="str">
        <f>IF(ISNUMBER(AVERAGE(#REF!)),AVERAGE(#REF!),"")</f>
        <v/>
      </c>
      <c r="AG46" s="58" t="str">
        <f>IF(ISNUMBER(AVERAGE(#REF!)),AVERAGE(#REF!),"")</f>
        <v/>
      </c>
      <c r="AH46" s="58" t="str">
        <f>IF(ISNUMBER(AVERAGE(#REF!)),AVERAGE(#REF!),"")</f>
        <v/>
      </c>
      <c r="AI46" s="56"/>
      <c r="AJ46" s="43" t="e">
        <f>COUNTIF(#REF!,1)</f>
        <v>#REF!</v>
      </c>
      <c r="AK46" s="50"/>
    </row>
    <row r="47" spans="1:37" x14ac:dyDescent="0.15">
      <c r="A47" s="7"/>
      <c r="B47" s="7"/>
      <c r="C47" s="59" t="s">
        <v>1</v>
      </c>
      <c r="D47" s="83">
        <f>IF(D48&gt;0,STDEV(D29:D45),"")</f>
        <v>9.6834886761526384</v>
      </c>
      <c r="E47" s="83">
        <f>IF(E48&gt;0,STDEV(E29:E45),"")</f>
        <v>8.9177526184967668</v>
      </c>
      <c r="F47" s="60" t="str">
        <f>IF(F48&gt;0,STDEV(#REF!),"")</f>
        <v/>
      </c>
      <c r="G47" s="60" t="str">
        <f>IF(G48&gt;0,STDEV(#REF!),"")</f>
        <v/>
      </c>
      <c r="H47" s="60" t="str">
        <f>IF(H48&gt;0,STDEV(#REF!),"")</f>
        <v/>
      </c>
      <c r="I47" s="60" t="str">
        <f>IF(I48&gt;0,STDEV(#REF!),"")</f>
        <v/>
      </c>
      <c r="J47" s="61">
        <f>SQRT(SUMPRODUCT(D47:I47,D47:I47,D50:I50)/SUM(D50:I50))</f>
        <v>9.3084978569552881</v>
      </c>
      <c r="K47" s="59" t="s">
        <v>71</v>
      </c>
      <c r="L47" s="60">
        <f>IF(ISNUMBER(STDEV(L30:L45)),STDEV(L30:L45),"")</f>
        <v>3.1284285192409302</v>
      </c>
      <c r="M47" s="60" t="str">
        <f>IF(ISNUMBER(STDEV(#REF!)),STDEV(#REF!),"")</f>
        <v/>
      </c>
      <c r="N47" s="60" t="str">
        <f>IF(ISNUMBER(STDEV(#REF!)),STDEV(#REF!),"")</f>
        <v/>
      </c>
      <c r="O47" s="60" t="str">
        <f>IF(ISNUMBER(STDEV(#REF!)),STDEV(#REF!),"")</f>
        <v/>
      </c>
      <c r="P47" s="60" t="str">
        <f>IF(ISNUMBER(STDEV(#REF!)),STDEV(#REF!),"")</f>
        <v/>
      </c>
      <c r="Q47" s="62">
        <f>SQRT(SUMPRODUCT(L47:P47,L47:P47,L71:P71)/SUM(L71:P71))</f>
        <v>3.1284285192409302</v>
      </c>
      <c r="R47" s="63"/>
      <c r="S47" s="64"/>
      <c r="T47" s="9"/>
      <c r="U47" s="56" t="s">
        <v>1</v>
      </c>
      <c r="V47" s="57" t="str">
        <f>IF(V50&gt;0,STDEV(#REF!),"")</f>
        <v/>
      </c>
      <c r="W47" s="57" t="str">
        <f>IF(W50&gt;0,STDEV(#REF!),"")</f>
        <v/>
      </c>
      <c r="X47" s="57" t="str">
        <f>IF(X50&gt;0,STDEV(#REF!),"")</f>
        <v/>
      </c>
      <c r="Y47" s="57" t="str">
        <f>IF(Y50&gt;0,STDEV(#REF!),"")</f>
        <v/>
      </c>
      <c r="Z47" s="57" t="str">
        <f>IF(Z50&gt;0,STDEV(#REF!),"")</f>
        <v/>
      </c>
      <c r="AA47" s="57" t="str">
        <f>IF(AA50&gt;0,STDEV(#REF!),"")</f>
        <v/>
      </c>
      <c r="AB47" s="58" t="e">
        <f>SQRT(SUMPRODUCT(V47:AA47,V47:AA47,V50:AA50)/SUM(V50:AA50))</f>
        <v>#DIV/0!</v>
      </c>
      <c r="AC47" s="56" t="s">
        <v>1</v>
      </c>
      <c r="AD47" s="58" t="str">
        <f>IF(ISNUMBER(STDEV(#REF!)),STDEV(#REF!),"")</f>
        <v/>
      </c>
      <c r="AE47" s="58" t="str">
        <f>IF(ISNUMBER(STDEV(#REF!)),STDEV(#REF!),"")</f>
        <v/>
      </c>
      <c r="AF47" s="58" t="str">
        <f>IF(ISNUMBER(STDEV(#REF!)),STDEV(#REF!),"")</f>
        <v/>
      </c>
      <c r="AG47" s="58" t="str">
        <f>IF(ISNUMBER(STDEV(#REF!)),STDEV(#REF!),"")</f>
        <v/>
      </c>
      <c r="AH47" s="58" t="str">
        <f>IF(ISNUMBER(STDEV(#REF!)),STDEV(#REF!),"")</f>
        <v/>
      </c>
      <c r="AI47" s="65" t="e">
        <f>IF(AI123,SQRT(SUMPRODUCT(AD47:AH47,AD47:AH47,AD123:AH123)/SUM(AD123:AH123)),"")</f>
        <v>#REF!</v>
      </c>
      <c r="AJ47" s="43"/>
    </row>
    <row r="48" spans="1:37" x14ac:dyDescent="0.15">
      <c r="A48" s="7"/>
      <c r="B48" s="7"/>
      <c r="C48" s="59" t="s">
        <v>72</v>
      </c>
      <c r="D48" s="66">
        <f>IF(OR(ISBLANK(D49),D49=0),0,COUNT(D30:D45))</f>
        <v>16</v>
      </c>
      <c r="E48" s="66">
        <f>IF(OR(ISBLANK(E49),E49=0),0,COUNT(E30:E45))</f>
        <v>16</v>
      </c>
      <c r="F48" s="66">
        <f>IF(OR(ISBLANK(F49),F49=0),0,COUNT(#REF!))</f>
        <v>0</v>
      </c>
      <c r="G48" s="66">
        <f>IF(OR(ISBLANK(G49),G49=0),0,COUNT(#REF!))</f>
        <v>0</v>
      </c>
      <c r="H48" s="66">
        <f>IF(OR(ISBLANK(H49),H49=0),0,COUNT(#REF!))</f>
        <v>0</v>
      </c>
      <c r="I48" s="66">
        <f>IF(OR(ISBLANK(I49),I49=0),0,COUNT(#REF!))</f>
        <v>0</v>
      </c>
      <c r="J48" s="67" t="e">
        <f>R46</f>
        <v>#REF!</v>
      </c>
      <c r="K48" s="68" t="s">
        <v>72</v>
      </c>
      <c r="L48" s="69">
        <f>COUNT(L30:L45)</f>
        <v>16</v>
      </c>
      <c r="M48" s="69">
        <f>COUNT(#REF!)</f>
        <v>0</v>
      </c>
      <c r="N48" s="69">
        <f>COUNT(#REF!)</f>
        <v>0</v>
      </c>
      <c r="O48" s="69">
        <f>COUNT(#REF!)</f>
        <v>0</v>
      </c>
      <c r="P48" s="69">
        <f>COUNT(#REF!)</f>
        <v>0</v>
      </c>
      <c r="Q48" s="70" t="e">
        <f>R46</f>
        <v>#REF!</v>
      </c>
      <c r="R48" s="7"/>
      <c r="S48" s="9"/>
      <c r="T48" s="9"/>
      <c r="U48" s="56" t="s">
        <v>73</v>
      </c>
      <c r="V48" s="71">
        <f>IF(OR(ISBLANK(V49),V49=0),0,COUNT(#REF!))</f>
        <v>0</v>
      </c>
      <c r="W48" s="71">
        <f>IF(OR(ISBLANK(W49),W49=0),0,COUNT(#REF!))</f>
        <v>0</v>
      </c>
      <c r="X48" s="71">
        <f>IF(OR(ISBLANK(X49),X49=0),0,COUNT(#REF!))</f>
        <v>0</v>
      </c>
      <c r="Y48" s="71">
        <f>IF(OR(ISBLANK(Y49),Y49=0),0,COUNT(#REF!))</f>
        <v>0</v>
      </c>
      <c r="Z48" s="71">
        <f>IF(OR(ISBLANK(Z49),Z49=0),0,COUNT(#REF!))</f>
        <v>0</v>
      </c>
      <c r="AA48" s="71">
        <f>IF(OR(ISBLANK(AA49),AA49=0),0,COUNT(#REF!))</f>
        <v>0</v>
      </c>
      <c r="AB48" s="22"/>
      <c r="AC48" s="56" t="s">
        <v>73</v>
      </c>
      <c r="AD48" s="71">
        <f>COUNT(#REF!)</f>
        <v>0</v>
      </c>
      <c r="AE48" s="71">
        <f>COUNT(#REF!)</f>
        <v>0</v>
      </c>
      <c r="AF48" s="71">
        <f>COUNT(#REF!)</f>
        <v>0</v>
      </c>
      <c r="AG48" s="71">
        <f>COUNT(#REF!)</f>
        <v>0</v>
      </c>
      <c r="AH48" s="71">
        <f>COUNT(#REF!)</f>
        <v>0</v>
      </c>
      <c r="AI48" s="65"/>
      <c r="AJ48" s="65"/>
    </row>
    <row r="49" spans="1:44" x14ac:dyDescent="0.15">
      <c r="A49" s="7"/>
      <c r="B49" s="7"/>
      <c r="C49" s="72" t="s">
        <v>74</v>
      </c>
      <c r="D49" s="73">
        <v>1</v>
      </c>
      <c r="E49" s="73">
        <v>1</v>
      </c>
      <c r="F49" s="73">
        <v>1</v>
      </c>
      <c r="G49" s="73">
        <v>1</v>
      </c>
      <c r="H49" s="73">
        <v>0</v>
      </c>
      <c r="I49" s="73">
        <v>0</v>
      </c>
      <c r="J49" s="74"/>
      <c r="K49" s="13"/>
      <c r="L49" s="75"/>
      <c r="M49" s="75"/>
      <c r="N49" s="75"/>
      <c r="O49" s="75"/>
      <c r="P49" s="75"/>
      <c r="Q49" s="7"/>
      <c r="R49" s="7"/>
      <c r="S49" s="9"/>
      <c r="T49" s="9"/>
      <c r="U49" s="76" t="s">
        <v>74</v>
      </c>
      <c r="V49" s="77">
        <f t="shared" ref="V49:AA49" si="6">D49</f>
        <v>1</v>
      </c>
      <c r="W49" s="77">
        <f t="shared" si="6"/>
        <v>1</v>
      </c>
      <c r="X49" s="77">
        <f t="shared" si="6"/>
        <v>1</v>
      </c>
      <c r="Y49" s="77">
        <f t="shared" si="6"/>
        <v>1</v>
      </c>
      <c r="Z49" s="77">
        <f t="shared" si="6"/>
        <v>0</v>
      </c>
      <c r="AA49" s="77">
        <f t="shared" si="6"/>
        <v>0</v>
      </c>
      <c r="AB49" s="78"/>
      <c r="AC49" s="56"/>
      <c r="AD49" s="71"/>
      <c r="AE49" s="71"/>
      <c r="AF49" s="71"/>
      <c r="AG49" s="71"/>
      <c r="AH49" s="71"/>
      <c r="AI49" s="65"/>
      <c r="AJ49" s="65"/>
    </row>
    <row r="50" spans="1:44" x14ac:dyDescent="0.15">
      <c r="A50" s="7"/>
      <c r="B50" s="7"/>
      <c r="C50" s="79" t="s">
        <v>75</v>
      </c>
      <c r="D50" s="80">
        <f t="shared" ref="D50:I50" si="7">IF(D48=0,0,D48-1)</f>
        <v>15</v>
      </c>
      <c r="E50" s="80">
        <f t="shared" si="7"/>
        <v>15</v>
      </c>
      <c r="F50" s="80">
        <f t="shared" si="7"/>
        <v>0</v>
      </c>
      <c r="G50" s="80">
        <f t="shared" si="7"/>
        <v>0</v>
      </c>
      <c r="H50" s="80">
        <f t="shared" si="7"/>
        <v>0</v>
      </c>
      <c r="I50" s="80">
        <f t="shared" si="7"/>
        <v>0</v>
      </c>
      <c r="J50" s="80" t="e">
        <f>J48-1</f>
        <v>#REF!</v>
      </c>
      <c r="K50" s="13"/>
      <c r="L50" s="81"/>
      <c r="M50" s="81"/>
      <c r="N50" s="81"/>
      <c r="O50" s="81"/>
      <c r="P50" s="81"/>
      <c r="Q50" s="7"/>
      <c r="R50" s="7"/>
      <c r="S50" s="9"/>
      <c r="T50" s="9"/>
      <c r="U50" s="56" t="s">
        <v>75</v>
      </c>
      <c r="V50" s="71">
        <f t="shared" ref="V50:AA50" si="8">IF(V48=0,0,V48-1)</f>
        <v>0</v>
      </c>
      <c r="W50" s="71">
        <f t="shared" si="8"/>
        <v>0</v>
      </c>
      <c r="X50" s="71">
        <f t="shared" si="8"/>
        <v>0</v>
      </c>
      <c r="Y50" s="71">
        <f t="shared" si="8"/>
        <v>0</v>
      </c>
      <c r="Z50" s="71">
        <f t="shared" si="8"/>
        <v>0</v>
      </c>
      <c r="AA50" s="71">
        <f t="shared" si="8"/>
        <v>0</v>
      </c>
      <c r="AB50" s="22" t="s">
        <v>51</v>
      </c>
      <c r="AC50" s="82" t="s">
        <v>76</v>
      </c>
      <c r="AD50" s="52" t="str">
        <f t="shared" ref="AD50:AH51" si="9">IF(ISNUMBER(AD46),EXP(AD46/100),"")</f>
        <v/>
      </c>
      <c r="AE50" s="52" t="str">
        <f t="shared" si="9"/>
        <v/>
      </c>
      <c r="AF50" s="52" t="str">
        <f t="shared" si="9"/>
        <v/>
      </c>
      <c r="AG50" s="52" t="str">
        <f t="shared" si="9"/>
        <v/>
      </c>
      <c r="AH50" s="54" t="str">
        <f t="shared" si="9"/>
        <v/>
      </c>
      <c r="AI50" s="22" t="s">
        <v>51</v>
      </c>
      <c r="AJ50" s="9"/>
    </row>
    <row r="51" spans="1:44" x14ac:dyDescent="0.15">
      <c r="A51" s="7"/>
      <c r="B51" s="7"/>
      <c r="C51" s="7"/>
      <c r="D51" s="7"/>
      <c r="E51" s="7"/>
      <c r="F51" s="7"/>
      <c r="G51" s="7"/>
      <c r="H51" s="7"/>
      <c r="I51" s="7"/>
      <c r="J51" s="7"/>
      <c r="K51" s="7"/>
      <c r="L51" s="81"/>
      <c r="M51" s="81"/>
      <c r="N51" s="81"/>
      <c r="O51" s="81"/>
      <c r="P51" s="81"/>
      <c r="Q51" s="7"/>
      <c r="R51" s="7"/>
      <c r="S51" s="9"/>
      <c r="T51" s="9"/>
      <c r="U51" s="82" t="s">
        <v>77</v>
      </c>
      <c r="V51" s="52" t="str">
        <f t="shared" ref="V51:AB52" si="10">IF(ISNUMBER(V46),EXP(V46/100),"")</f>
        <v/>
      </c>
      <c r="W51" s="52" t="str">
        <f t="shared" si="10"/>
        <v/>
      </c>
      <c r="X51" s="52" t="str">
        <f t="shared" si="10"/>
        <v/>
      </c>
      <c r="Y51" s="52" t="str">
        <f t="shared" si="10"/>
        <v/>
      </c>
      <c r="Z51" s="52" t="str">
        <f t="shared" si="10"/>
        <v/>
      </c>
      <c r="AA51" s="52" t="str">
        <f t="shared" si="10"/>
        <v/>
      </c>
      <c r="AB51" s="53" t="str">
        <f t="shared" si="10"/>
        <v/>
      </c>
      <c r="AC51" s="18" t="s">
        <v>78</v>
      </c>
      <c r="AD51" s="83" t="str">
        <f t="shared" si="9"/>
        <v/>
      </c>
      <c r="AE51" s="83" t="str">
        <f t="shared" si="9"/>
        <v/>
      </c>
      <c r="AF51" s="83" t="str">
        <f t="shared" si="9"/>
        <v/>
      </c>
      <c r="AG51" s="83" t="str">
        <f t="shared" si="9"/>
        <v/>
      </c>
      <c r="AH51" s="83" t="str">
        <f t="shared" si="9"/>
        <v/>
      </c>
      <c r="AI51" s="84" t="str">
        <f>IF(ISNUMBER(AI72),EXP(AI47/100),"")</f>
        <v/>
      </c>
      <c r="AJ51" s="9"/>
    </row>
    <row r="52" spans="1:44" x14ac:dyDescent="0.15">
      <c r="A52" s="13"/>
      <c r="B52" s="7"/>
      <c r="C52" s="13"/>
      <c r="D52" s="13"/>
      <c r="E52" s="13"/>
      <c r="F52" s="13"/>
      <c r="G52" s="7"/>
      <c r="H52" s="7"/>
      <c r="I52" s="7"/>
      <c r="J52" s="7"/>
      <c r="K52" s="7"/>
      <c r="L52" s="7"/>
      <c r="M52" s="7"/>
      <c r="N52" s="7"/>
      <c r="O52" s="7"/>
      <c r="P52" s="7"/>
      <c r="Q52" s="7"/>
      <c r="R52" s="7"/>
      <c r="S52" s="9"/>
      <c r="T52" s="9"/>
      <c r="U52" s="85" t="s">
        <v>79</v>
      </c>
      <c r="V52" s="83" t="str">
        <f t="shared" si="10"/>
        <v/>
      </c>
      <c r="W52" s="83" t="str">
        <f t="shared" si="10"/>
        <v/>
      </c>
      <c r="X52" s="83" t="str">
        <f t="shared" si="10"/>
        <v/>
      </c>
      <c r="Y52" s="83" t="str">
        <f t="shared" si="10"/>
        <v/>
      </c>
      <c r="Z52" s="83" t="str">
        <f t="shared" si="10"/>
        <v/>
      </c>
      <c r="AA52" s="83" t="str">
        <f t="shared" si="10"/>
        <v/>
      </c>
      <c r="AB52" s="86" t="str">
        <f t="shared" si="10"/>
        <v/>
      </c>
      <c r="AC52" s="18" t="s">
        <v>80</v>
      </c>
      <c r="AD52" s="60" t="str">
        <f>IF(ISNUMBER(AD46),100*EXP(AD46/100)-100,"")</f>
        <v/>
      </c>
      <c r="AE52" s="60" t="str">
        <f>IF(ISNUMBER(AE46),100*EXP(AE46/100)-100,"")</f>
        <v/>
      </c>
      <c r="AF52" s="60" t="str">
        <f>IF(ISNUMBER(AF46),100*EXP(AF46/100)-100,"")</f>
        <v/>
      </c>
      <c r="AG52" s="60" t="str">
        <f>IF(ISNUMBER(AG46),100*EXP(AG46/100)-100,"")</f>
        <v/>
      </c>
      <c r="AH52" s="87" t="str">
        <f>IF(ISNUMBER(AH46),100*EXP(AH46/100)-100,"")</f>
        <v/>
      </c>
      <c r="AI52" s="9"/>
      <c r="AJ52" s="9"/>
    </row>
    <row r="53" spans="1:44" ht="14" x14ac:dyDescent="0.15">
      <c r="A53" s="13"/>
      <c r="B53" s="7" t="s">
        <v>81</v>
      </c>
      <c r="C53" s="88"/>
      <c r="D53" s="88"/>
      <c r="E53" s="7"/>
      <c r="F53" s="7"/>
      <c r="G53" s="7"/>
      <c r="H53" s="7"/>
      <c r="I53" s="7"/>
      <c r="J53" s="7"/>
      <c r="K53" s="7"/>
      <c r="L53" s="7"/>
      <c r="M53" s="7"/>
      <c r="N53" s="7"/>
      <c r="O53" s="7"/>
      <c r="P53" s="7"/>
      <c r="Q53" s="7"/>
      <c r="R53" s="7"/>
      <c r="S53" s="9"/>
      <c r="T53" s="32"/>
      <c r="U53" s="85" t="s">
        <v>82</v>
      </c>
      <c r="V53" s="60" t="str">
        <f t="shared" ref="V53:AB53" si="11">IF(ISNUMBER(V52),100*V52-100,"")</f>
        <v/>
      </c>
      <c r="W53" s="60" t="str">
        <f t="shared" si="11"/>
        <v/>
      </c>
      <c r="X53" s="60" t="str">
        <f t="shared" si="11"/>
        <v/>
      </c>
      <c r="Y53" s="60" t="str">
        <f t="shared" si="11"/>
        <v/>
      </c>
      <c r="Z53" s="60" t="str">
        <f t="shared" si="11"/>
        <v/>
      </c>
      <c r="AA53" s="60" t="str">
        <f t="shared" si="11"/>
        <v/>
      </c>
      <c r="AB53" s="87" t="str">
        <f t="shared" si="11"/>
        <v/>
      </c>
      <c r="AC53" s="18" t="s">
        <v>83</v>
      </c>
      <c r="AD53" s="60" t="str">
        <f>IF(ISNUMBER(AD51),100*AD51-100,"")</f>
        <v/>
      </c>
      <c r="AE53" s="60" t="str">
        <f>IF(ISNUMBER(AE51),100*AE51-100,"")</f>
        <v/>
      </c>
      <c r="AF53" s="60" t="str">
        <f>IF(ISNUMBER(AF51),100*AF51-100,"")</f>
        <v/>
      </c>
      <c r="AG53" s="60" t="str">
        <f>IF(ISNUMBER(AG51),100*AG51-100,"")</f>
        <v/>
      </c>
      <c r="AH53" s="60" t="str">
        <f>IF(ISNUMBER(AH51),100*AH51-100,"")</f>
        <v/>
      </c>
      <c r="AI53" s="54" t="str">
        <f>IF(ISNUMBER(AI72),100*EXP(AI47/100)-100,"")</f>
        <v/>
      </c>
      <c r="AJ53" s="9"/>
    </row>
    <row r="54" spans="1:44" s="34" customFormat="1" ht="16" x14ac:dyDescent="0.2">
      <c r="A54" s="23"/>
      <c r="B54" s="23"/>
      <c r="C54" s="23"/>
      <c r="D54" s="23"/>
      <c r="E54" s="23"/>
      <c r="F54" s="23"/>
      <c r="G54" s="23"/>
      <c r="H54" s="23"/>
      <c r="I54" s="7"/>
      <c r="J54" s="89" t="s">
        <v>84</v>
      </c>
      <c r="K54" s="90"/>
      <c r="L54" s="90"/>
      <c r="M54" s="90"/>
      <c r="N54" s="90"/>
      <c r="O54" s="91"/>
      <c r="P54" s="91"/>
      <c r="Q54" s="92"/>
      <c r="R54" s="27"/>
      <c r="S54" s="9"/>
      <c r="T54" s="32"/>
      <c r="U54" s="93" t="s">
        <v>72</v>
      </c>
      <c r="V54" s="69">
        <f t="shared" ref="V54:AA54" si="12">V48</f>
        <v>0</v>
      </c>
      <c r="W54" s="69">
        <f t="shared" si="12"/>
        <v>0</v>
      </c>
      <c r="X54" s="69">
        <f t="shared" si="12"/>
        <v>0</v>
      </c>
      <c r="Y54" s="69">
        <f t="shared" si="12"/>
        <v>0</v>
      </c>
      <c r="Z54" s="69">
        <f t="shared" si="12"/>
        <v>0</v>
      </c>
      <c r="AA54" s="69">
        <f t="shared" si="12"/>
        <v>0</v>
      </c>
      <c r="AB54" s="94" t="e">
        <f>IF(AJ46,AJ46,"")</f>
        <v>#REF!</v>
      </c>
      <c r="AC54" s="95" t="s">
        <v>72</v>
      </c>
      <c r="AD54" s="69">
        <f>AD48</f>
        <v>0</v>
      </c>
      <c r="AE54" s="69">
        <f>AE48</f>
        <v>0</v>
      </c>
      <c r="AF54" s="69">
        <f>AF48</f>
        <v>0</v>
      </c>
      <c r="AG54" s="69">
        <f>AG48</f>
        <v>0</v>
      </c>
      <c r="AH54" s="69">
        <f>AH48</f>
        <v>0</v>
      </c>
      <c r="AI54" s="94" t="e">
        <f>IF(AJ46,AJ46,"")</f>
        <v>#REF!</v>
      </c>
      <c r="AJ54" s="9"/>
    </row>
    <row r="55" spans="1:44" s="104" customFormat="1" ht="16" x14ac:dyDescent="0.2">
      <c r="A55" s="96"/>
      <c r="B55" s="96"/>
      <c r="C55" s="96"/>
      <c r="D55" s="96"/>
      <c r="E55" s="96"/>
      <c r="F55" s="96"/>
      <c r="G55" s="96"/>
      <c r="H55" s="96"/>
      <c r="I55" s="96"/>
      <c r="J55" s="97" t="s">
        <v>85</v>
      </c>
      <c r="K55" s="35" t="s">
        <v>86</v>
      </c>
      <c r="L55" s="96" t="str">
        <f>L29</f>
        <v>2-1</v>
      </c>
      <c r="M55" s="96" t="str">
        <f>M29</f>
        <v>3-2</v>
      </c>
      <c r="N55" s="96" t="str">
        <f>N29</f>
        <v>4-3</v>
      </c>
      <c r="O55" s="96" t="str">
        <f>O29</f>
        <v>5-4</v>
      </c>
      <c r="P55" s="96" t="str">
        <f>P29</f>
        <v>6-5</v>
      </c>
      <c r="Q55" s="98" t="s">
        <v>51</v>
      </c>
      <c r="R55" s="17"/>
      <c r="S55" s="32"/>
      <c r="T55" s="32"/>
      <c r="U55" s="32"/>
      <c r="V55" s="32"/>
      <c r="W55" s="32"/>
      <c r="X55" s="32"/>
      <c r="Y55" s="32"/>
      <c r="Z55" s="32"/>
      <c r="AA55" s="30"/>
      <c r="AB55" s="99" t="s">
        <v>87</v>
      </c>
      <c r="AC55" s="100"/>
      <c r="AD55" s="100"/>
      <c r="AE55" s="100"/>
      <c r="AF55" s="100"/>
      <c r="AG55" s="100"/>
      <c r="AH55" s="101"/>
      <c r="AI55" s="102"/>
      <c r="AJ55" s="103"/>
      <c r="AK55" s="34"/>
      <c r="AL55" s="34"/>
      <c r="AM55" s="34"/>
      <c r="AN55" s="34"/>
      <c r="AO55" s="34"/>
      <c r="AP55" s="34"/>
      <c r="AQ55" s="34"/>
      <c r="AR55" s="34"/>
    </row>
    <row r="56" spans="1:44" s="3" customFormat="1" ht="14" x14ac:dyDescent="0.15">
      <c r="A56" s="105"/>
      <c r="B56" s="105"/>
      <c r="C56" s="105"/>
      <c r="D56" s="105"/>
      <c r="E56" s="105"/>
      <c r="F56" s="105"/>
      <c r="G56" s="105"/>
      <c r="H56" s="106" t="s">
        <v>88</v>
      </c>
      <c r="I56" s="105"/>
      <c r="J56" s="107"/>
      <c r="K56" s="108" t="s">
        <v>89</v>
      </c>
      <c r="L56" s="109">
        <f>IF(L71,L46,"")</f>
        <v>0.62625000000000042</v>
      </c>
      <c r="M56" s="110" t="str">
        <f>IF(M71,M46,"")</f>
        <v/>
      </c>
      <c r="N56" s="110" t="str">
        <f>IF(N71,N46,"")</f>
        <v/>
      </c>
      <c r="O56" s="110" t="str">
        <f>IF(O71,O46,"")</f>
        <v/>
      </c>
      <c r="P56" s="110" t="str">
        <f>IF(P71,P46,"")</f>
        <v/>
      </c>
      <c r="Q56" s="111"/>
      <c r="R56" s="112"/>
      <c r="S56" s="22"/>
      <c r="T56" s="113" t="s">
        <v>90</v>
      </c>
      <c r="U56" s="22"/>
      <c r="V56" s="22"/>
      <c r="W56" s="22"/>
      <c r="X56" s="22"/>
      <c r="Y56" s="22"/>
      <c r="Z56" s="22"/>
      <c r="AA56" s="42"/>
      <c r="AB56" s="114" t="s">
        <v>91</v>
      </c>
      <c r="AC56" s="95" t="s">
        <v>86</v>
      </c>
      <c r="AD56" s="41" t="str">
        <f>L29</f>
        <v>2-1</v>
      </c>
      <c r="AE56" s="41" t="str">
        <f>M29</f>
        <v>3-2</v>
      </c>
      <c r="AF56" s="41" t="str">
        <f>N29</f>
        <v>4-3</v>
      </c>
      <c r="AG56" s="41" t="str">
        <f>O29</f>
        <v>5-4</v>
      </c>
      <c r="AH56" s="41" t="str">
        <f>P29</f>
        <v>6-5</v>
      </c>
      <c r="AI56" s="115" t="s">
        <v>51</v>
      </c>
      <c r="AJ56" s="42"/>
      <c r="AK56" s="34"/>
      <c r="AL56" s="34"/>
      <c r="AM56" s="34"/>
      <c r="AN56" s="34"/>
      <c r="AO56" s="34"/>
      <c r="AP56" s="34"/>
      <c r="AQ56" s="34"/>
      <c r="AR56" s="34"/>
    </row>
    <row r="57" spans="1:44" ht="14" x14ac:dyDescent="0.15">
      <c r="A57" s="7"/>
      <c r="B57" s="7"/>
      <c r="C57" s="7"/>
      <c r="D57" s="7"/>
      <c r="E57" s="7"/>
      <c r="F57" s="7"/>
      <c r="G57" s="7"/>
      <c r="H57" s="116">
        <f>TTEST(D30:D45,E30:E45,2,1)</f>
        <v>0.43579275186038757</v>
      </c>
      <c r="I57" s="7"/>
      <c r="J57" s="117"/>
      <c r="K57" s="13" t="s">
        <v>92</v>
      </c>
      <c r="L57" s="118">
        <f>IF(L71,L56-TINV(1-$D$27/100,L71)*L47/SQRT(L48),"")</f>
        <v>-1.0407718864130791</v>
      </c>
      <c r="M57" s="119" t="str">
        <f>IF(M71,M56-TINV(1-$D$27/100,M71)*M47/SQRT(M48),"")</f>
        <v/>
      </c>
      <c r="N57" s="119" t="str">
        <f>IF(N71,N56-TINV(1-$D$27/100,N71)*N47/SQRT(N48),"")</f>
        <v/>
      </c>
      <c r="O57" s="119" t="str">
        <f>IF(O71,O56-TINV(1-$D$27/100,O71)*O47/SQRT(O48),"")</f>
        <v/>
      </c>
      <c r="P57" s="119" t="str">
        <f>IF(P71,P56-TINV(1-$D$27/100,P71)*P47/SQRT(P48),"")</f>
        <v/>
      </c>
      <c r="Q57" s="98"/>
      <c r="R57" s="17" t="s">
        <v>93</v>
      </c>
      <c r="S57" s="120"/>
      <c r="T57" s="121" t="s">
        <v>94</v>
      </c>
      <c r="U57" s="120"/>
      <c r="V57" s="120"/>
      <c r="W57" s="120"/>
      <c r="X57" s="120"/>
      <c r="Y57" s="120"/>
      <c r="Z57" s="120"/>
      <c r="AA57" s="122"/>
      <c r="AB57" s="123"/>
      <c r="AC57" s="124" t="s">
        <v>76</v>
      </c>
      <c r="AD57" s="125" t="str">
        <f t="shared" ref="AD57:AH59" si="13">IF(ISNUMBER(AD110),EXP(AD110/100),"")</f>
        <v/>
      </c>
      <c r="AE57" s="125" t="str">
        <f t="shared" si="13"/>
        <v/>
      </c>
      <c r="AF57" s="125" t="str">
        <f t="shared" si="13"/>
        <v/>
      </c>
      <c r="AG57" s="125" t="str">
        <f t="shared" si="13"/>
        <v/>
      </c>
      <c r="AH57" s="125" t="str">
        <f t="shared" si="13"/>
        <v/>
      </c>
      <c r="AI57" s="126"/>
      <c r="AJ57" s="127"/>
      <c r="AK57" s="34"/>
      <c r="AL57" s="34"/>
      <c r="AM57" s="34"/>
      <c r="AN57" s="34"/>
      <c r="AO57" s="34"/>
      <c r="AP57" s="34"/>
      <c r="AQ57" s="34"/>
      <c r="AR57" s="34"/>
    </row>
    <row r="58" spans="1:44" ht="14" x14ac:dyDescent="0.15">
      <c r="A58" s="7"/>
      <c r="B58" s="7"/>
      <c r="C58" s="7"/>
      <c r="D58" s="7"/>
      <c r="E58" s="7"/>
      <c r="F58" s="7"/>
      <c r="G58" s="7"/>
      <c r="H58" s="7"/>
      <c r="I58" s="7"/>
      <c r="J58" s="117"/>
      <c r="K58" s="13" t="s">
        <v>95</v>
      </c>
      <c r="L58" s="118">
        <f>IF(L71,L56+TINV(1-$D$27/100,L71)*L47/SQRT(L48),"")</f>
        <v>2.2932718864130797</v>
      </c>
      <c r="M58" s="128" t="str">
        <f>IF(M71,M56+TINV(1-$D$27/100,M71)*M47/SQRT(M48),"")</f>
        <v/>
      </c>
      <c r="N58" s="128" t="str">
        <f>IF(N71,N56+TINV(1-$D$27/100,N71)*N47/SQRT(N48),"")</f>
        <v/>
      </c>
      <c r="O58" s="128" t="str">
        <f>IF(O71,O56+TINV(1-$D$27/100,O71)*O47/SQRT(O48),"")</f>
        <v/>
      </c>
      <c r="P58" s="128" t="str">
        <f>IF(P71,P56+TINV(1-$D$27/100,P71)*P47/SQRT(P48),"")</f>
        <v/>
      </c>
      <c r="Q58" s="98"/>
      <c r="R58" s="17"/>
      <c r="S58" s="22"/>
      <c r="T58" s="22"/>
      <c r="U58" s="22"/>
      <c r="V58" s="22"/>
      <c r="W58" s="22"/>
      <c r="X58" s="22"/>
      <c r="Y58" s="22"/>
      <c r="Z58" s="22"/>
      <c r="AA58" s="9"/>
      <c r="AB58" s="129"/>
      <c r="AC58" s="18" t="s">
        <v>92</v>
      </c>
      <c r="AD58" s="119" t="str">
        <f t="shared" si="13"/>
        <v/>
      </c>
      <c r="AE58" s="119" t="str">
        <f t="shared" si="13"/>
        <v/>
      </c>
      <c r="AF58" s="119" t="str">
        <f t="shared" si="13"/>
        <v/>
      </c>
      <c r="AG58" s="119" t="str">
        <f t="shared" si="13"/>
        <v/>
      </c>
      <c r="AH58" s="119" t="str">
        <f t="shared" si="13"/>
        <v/>
      </c>
      <c r="AI58" s="130"/>
      <c r="AJ58" s="131"/>
      <c r="AK58" s="34"/>
      <c r="AL58" s="34"/>
      <c r="AM58" s="34"/>
      <c r="AN58" s="34"/>
      <c r="AO58" s="34"/>
      <c r="AP58" s="34"/>
      <c r="AQ58" s="34"/>
      <c r="AR58" s="34"/>
    </row>
    <row r="59" spans="1:44" s="3" customFormat="1" ht="14" x14ac:dyDescent="0.15">
      <c r="A59" s="105"/>
      <c r="B59" s="105"/>
      <c r="C59" s="105"/>
      <c r="D59" s="105"/>
      <c r="E59" s="105"/>
      <c r="F59" s="105"/>
      <c r="G59" s="105"/>
      <c r="H59" s="106" t="s">
        <v>0</v>
      </c>
      <c r="I59" s="105"/>
      <c r="J59" s="117"/>
      <c r="K59" s="13" t="s">
        <v>96</v>
      </c>
      <c r="L59" s="83">
        <f>IF(L71,(L58-L57)/2,"")</f>
        <v>1.6670218864130795</v>
      </c>
      <c r="M59" s="83" t="str">
        <f>IF(M71,(M58-M57)/2,"")</f>
        <v/>
      </c>
      <c r="N59" s="83" t="str">
        <f>IF(N71,(N58-N57)/2,"")</f>
        <v/>
      </c>
      <c r="O59" s="83" t="str">
        <f>IF(O71,(O58-O57)/2,"")</f>
        <v/>
      </c>
      <c r="P59" s="83" t="str">
        <f>IF(P71,(P58-P57)/2,"")</f>
        <v/>
      </c>
      <c r="Q59" s="98"/>
      <c r="R59" s="132"/>
      <c r="S59" s="22"/>
      <c r="T59" s="22"/>
      <c r="U59" s="22"/>
      <c r="V59" s="22"/>
      <c r="W59" s="22"/>
      <c r="X59" s="22"/>
      <c r="Y59" s="22"/>
      <c r="Z59" s="22"/>
      <c r="AA59" s="9"/>
      <c r="AB59" s="129"/>
      <c r="AC59" s="18" t="s">
        <v>95</v>
      </c>
      <c r="AD59" s="133" t="str">
        <f t="shared" si="13"/>
        <v/>
      </c>
      <c r="AE59" s="133" t="str">
        <f t="shared" si="13"/>
        <v/>
      </c>
      <c r="AF59" s="133" t="str">
        <f t="shared" si="13"/>
        <v/>
      </c>
      <c r="AG59" s="133" t="str">
        <f t="shared" si="13"/>
        <v/>
      </c>
      <c r="AH59" s="133" t="str">
        <f t="shared" si="13"/>
        <v/>
      </c>
      <c r="AI59" s="134"/>
      <c r="AJ59" s="135"/>
      <c r="AK59" s="34"/>
      <c r="AL59" s="34"/>
      <c r="AM59" s="34"/>
      <c r="AN59" s="34"/>
      <c r="AO59" s="34"/>
      <c r="AP59" s="34"/>
      <c r="AQ59" s="34"/>
      <c r="AR59" s="34"/>
    </row>
    <row r="60" spans="1:44" ht="14" x14ac:dyDescent="0.15">
      <c r="A60" s="7"/>
      <c r="B60" s="7"/>
      <c r="C60" s="7"/>
      <c r="D60" s="7"/>
      <c r="E60" s="7"/>
      <c r="F60" s="7"/>
      <c r="G60" s="7"/>
      <c r="H60" s="136">
        <f>L60/$J$46*100</f>
        <v>7.1487403459034189</v>
      </c>
      <c r="I60" s="7"/>
      <c r="J60" s="137"/>
      <c r="K60" s="138" t="s">
        <v>97</v>
      </c>
      <c r="L60" s="139">
        <f>IF(L71,STDEV(L30:L45)/SQRT(2),"")</f>
        <v>2.2121330204126513</v>
      </c>
      <c r="M60" s="125" t="str">
        <f>IF(M71,STDEV(#REF!)/SQRT(2),"")</f>
        <v/>
      </c>
      <c r="N60" s="125" t="str">
        <f>IF(N71,STDEV(#REF!)/SQRT(2),"")</f>
        <v/>
      </c>
      <c r="O60" s="125" t="str">
        <f>IF(O71,STDEV(#REF!)/SQRT(2),"")</f>
        <v/>
      </c>
      <c r="P60" s="125" t="str">
        <f>IF(P71,STDEV(#REF!)/SQRT(2),"")</f>
        <v/>
      </c>
      <c r="Q60" s="140">
        <f>SQRT(SUMPRODUCT(L60:P60,L60:P60,L71:P71)/SUM(L71:P71))</f>
        <v>2.2121330204126513</v>
      </c>
      <c r="R60" s="141"/>
      <c r="S60" s="142"/>
      <c r="T60" s="142"/>
      <c r="U60" s="142"/>
      <c r="V60" s="142"/>
      <c r="W60" s="142"/>
      <c r="X60" s="142"/>
      <c r="Y60" s="142"/>
      <c r="Z60" s="142"/>
      <c r="AA60" s="122"/>
      <c r="AB60" s="129"/>
      <c r="AC60" s="18" t="s">
        <v>98</v>
      </c>
      <c r="AD60" s="83" t="str">
        <f>IF(ISNUMBER(AD57),SQRT(AD59/AD58),"")</f>
        <v/>
      </c>
      <c r="AE60" s="83" t="str">
        <f>IF(ISNUMBER(AE57),SQRT(AE59/AE58),"")</f>
        <v/>
      </c>
      <c r="AF60" s="83" t="str">
        <f>IF(ISNUMBER(AF57),SQRT(AF59/AF58),"")</f>
        <v/>
      </c>
      <c r="AG60" s="83" t="str">
        <f>IF(ISNUMBER(AG57),SQRT(AG59/AG58),"")</f>
        <v/>
      </c>
      <c r="AH60" s="83" t="str">
        <f>IF(ISNUMBER(AH57),SQRT(AH59/AH58),"")</f>
        <v/>
      </c>
      <c r="AI60" s="134"/>
      <c r="AJ60" s="143"/>
      <c r="AK60" s="34"/>
      <c r="AL60" s="34"/>
      <c r="AM60" s="34"/>
      <c r="AN60" s="34"/>
      <c r="AO60" s="34"/>
      <c r="AP60" s="34"/>
      <c r="AQ60" s="34"/>
      <c r="AR60" s="34"/>
    </row>
    <row r="61" spans="1:44" ht="14" x14ac:dyDescent="0.15">
      <c r="A61" s="7"/>
      <c r="B61" s="7"/>
      <c r="C61" s="7"/>
      <c r="D61" s="7"/>
      <c r="E61" s="7"/>
      <c r="F61" s="7"/>
      <c r="G61" s="7"/>
      <c r="H61" s="136">
        <f>L61/$J$46*100</f>
        <v>5.2808092203161383</v>
      </c>
      <c r="I61" s="7"/>
      <c r="J61" s="144"/>
      <c r="K61" s="13" t="s">
        <v>92</v>
      </c>
      <c r="L61" s="118">
        <f>IF(L71,SQRT(L71*L60^2/CHIINV((1-$D$27/100)/2,L71)),"")</f>
        <v>1.6341134081692021</v>
      </c>
      <c r="M61" s="119" t="str">
        <f>IF(M71,SQRT(M71*M60^2/CHIINV((1-$D$27/100)/2,M71)),"")</f>
        <v/>
      </c>
      <c r="N61" s="119" t="str">
        <f>IF(N71,SQRT(N71*N60^2/CHIINV((1-$D$27/100)/2,N71)),"")</f>
        <v/>
      </c>
      <c r="O61" s="119" t="str">
        <f>IF(O71,SQRT(O71*O60^2/CHIINV((1-$D$27/100)/2,O71)),"")</f>
        <v/>
      </c>
      <c r="P61" s="119" t="str">
        <f>IF(P71,SQRT(P71*P60^2/CHIINV((1-$D$27/100)/2,P71)),"")</f>
        <v/>
      </c>
      <c r="Q61" s="86">
        <f>SQRT(Q71*Q60^2/CHIINV((1-$D$27/100)/2,Q71))</f>
        <v>1.6341134081692021</v>
      </c>
      <c r="R61" s="145"/>
      <c r="S61" s="146"/>
      <c r="T61" s="146"/>
      <c r="U61" s="146"/>
      <c r="V61" s="146"/>
      <c r="W61" s="146"/>
      <c r="X61" s="146"/>
      <c r="Y61" s="146"/>
      <c r="Z61" s="146"/>
      <c r="AA61" s="9"/>
      <c r="AB61" s="123"/>
      <c r="AC61" s="124" t="s">
        <v>99</v>
      </c>
      <c r="AD61" s="125" t="str">
        <f t="shared" ref="AD61:AH63" si="14">IF(ISNUMBER(AD113),EXP(AD113/100),"")</f>
        <v/>
      </c>
      <c r="AE61" s="125" t="str">
        <f t="shared" si="14"/>
        <v/>
      </c>
      <c r="AF61" s="125" t="str">
        <f t="shared" si="14"/>
        <v/>
      </c>
      <c r="AG61" s="125" t="str">
        <f t="shared" si="14"/>
        <v/>
      </c>
      <c r="AH61" s="125" t="str">
        <f t="shared" si="14"/>
        <v/>
      </c>
      <c r="AI61" s="140" t="str">
        <f>IF(ISNUMBER(AI72),EXP(AI113/100),"")</f>
        <v/>
      </c>
      <c r="AJ61" s="147"/>
      <c r="AK61" s="34"/>
      <c r="AL61" s="34"/>
      <c r="AM61" s="34"/>
      <c r="AN61" s="34"/>
      <c r="AO61" s="34"/>
      <c r="AP61" s="34"/>
      <c r="AQ61" s="34"/>
      <c r="AR61" s="34"/>
    </row>
    <row r="62" spans="1:44" s="3" customFormat="1" ht="14" x14ac:dyDescent="0.15">
      <c r="A62" s="105"/>
      <c r="B62" s="105"/>
      <c r="C62" s="105"/>
      <c r="D62" s="105"/>
      <c r="E62" s="105"/>
      <c r="F62" s="105"/>
      <c r="G62" s="105"/>
      <c r="H62" s="136">
        <f>L62/$J$46*100</f>
        <v>11.064042686830721</v>
      </c>
      <c r="I62" s="105"/>
      <c r="J62" s="144"/>
      <c r="K62" s="13" t="s">
        <v>95</v>
      </c>
      <c r="L62" s="118">
        <f>IF(L71,SQRT(L71*L60^2/CHIINV(1-(1-$D$27/100)/2,L71)),"")</f>
        <v>3.4236988591729745</v>
      </c>
      <c r="M62" s="128" t="str">
        <f>IF(M71,SQRT(M71*M60^2/CHIINV(1-(1-$D$27/100)/2,M71)),"")</f>
        <v/>
      </c>
      <c r="N62" s="128" t="str">
        <f>IF(N71,SQRT(N71*N60^2/CHIINV(1-(1-$D$27/100)/2,N71)),"")</f>
        <v/>
      </c>
      <c r="O62" s="128" t="str">
        <f>IF(O71,SQRT(O71*O60^2/CHIINV(1-(1-$D$27/100)/2,O71)),"")</f>
        <v/>
      </c>
      <c r="P62" s="128" t="str">
        <f>IF(P71,SQRT(P71*P60^2/CHIINV(1-(1-$D$27/100)/2,P71)),"")</f>
        <v/>
      </c>
      <c r="Q62" s="86">
        <f>SQRT(Q71*Q60^2/CHIINV(1-(1-$D$27/100)/2,Q71))</f>
        <v>3.4236988591729745</v>
      </c>
      <c r="R62" s="148"/>
      <c r="S62" s="149"/>
      <c r="T62" s="149"/>
      <c r="U62" s="149"/>
      <c r="V62" s="149"/>
      <c r="W62" s="149"/>
      <c r="X62" s="149"/>
      <c r="Y62" s="149"/>
      <c r="Z62" s="149"/>
      <c r="AA62" s="9"/>
      <c r="AB62" s="129"/>
      <c r="AC62" s="18" t="s">
        <v>92</v>
      </c>
      <c r="AD62" s="119" t="str">
        <f t="shared" si="14"/>
        <v/>
      </c>
      <c r="AE62" s="119" t="str">
        <f t="shared" si="14"/>
        <v/>
      </c>
      <c r="AF62" s="119" t="str">
        <f t="shared" si="14"/>
        <v/>
      </c>
      <c r="AG62" s="119" t="str">
        <f t="shared" si="14"/>
        <v/>
      </c>
      <c r="AH62" s="119" t="str">
        <f t="shared" si="14"/>
        <v/>
      </c>
      <c r="AI62" s="150" t="str">
        <f>IF(ISNUMBER(AI72),EXP(AI114/100),"")</f>
        <v/>
      </c>
      <c r="AJ62" s="151"/>
      <c r="AK62" s="34"/>
      <c r="AL62" s="34"/>
      <c r="AM62" s="34"/>
      <c r="AN62" s="34"/>
      <c r="AO62" s="34"/>
      <c r="AP62" s="34"/>
      <c r="AQ62" s="34"/>
      <c r="AR62" s="34"/>
    </row>
    <row r="63" spans="1:44" ht="14" x14ac:dyDescent="0.15">
      <c r="A63" s="7"/>
      <c r="B63" s="7"/>
      <c r="C63" s="7"/>
      <c r="D63" s="7"/>
      <c r="E63" s="7"/>
      <c r="F63" s="7"/>
      <c r="G63" s="7"/>
      <c r="H63" s="7"/>
      <c r="I63" s="105"/>
      <c r="J63" s="144"/>
      <c r="K63" s="152" t="s">
        <v>100</v>
      </c>
      <c r="L63" s="83">
        <f t="shared" ref="L63:Q63" si="15">IF(ISNUMBER(L61),SQRT(L62/L61),"")</f>
        <v>1.4474603710322742</v>
      </c>
      <c r="M63" s="83" t="str">
        <f t="shared" si="15"/>
        <v/>
      </c>
      <c r="N63" s="83" t="str">
        <f t="shared" si="15"/>
        <v/>
      </c>
      <c r="O63" s="83" t="str">
        <f t="shared" si="15"/>
        <v/>
      </c>
      <c r="P63" s="83" t="str">
        <f t="shared" si="15"/>
        <v/>
      </c>
      <c r="Q63" s="86">
        <f t="shared" si="15"/>
        <v>1.4474603710322742</v>
      </c>
      <c r="R63" s="153"/>
      <c r="S63" s="154"/>
      <c r="T63" s="154"/>
      <c r="U63" s="154"/>
      <c r="V63" s="154"/>
      <c r="W63" s="154"/>
      <c r="X63" s="154"/>
      <c r="Y63" s="154"/>
      <c r="Z63" s="154"/>
      <c r="AA63" s="122"/>
      <c r="AB63" s="129"/>
      <c r="AC63" s="18" t="s">
        <v>95</v>
      </c>
      <c r="AD63" s="133" t="str">
        <f t="shared" si="14"/>
        <v/>
      </c>
      <c r="AE63" s="133" t="str">
        <f t="shared" si="14"/>
        <v/>
      </c>
      <c r="AF63" s="133" t="str">
        <f t="shared" si="14"/>
        <v/>
      </c>
      <c r="AG63" s="133" t="str">
        <f t="shared" si="14"/>
        <v/>
      </c>
      <c r="AH63" s="133" t="str">
        <f t="shared" si="14"/>
        <v/>
      </c>
      <c r="AI63" s="155" t="str">
        <f>IF(ISNUMBER(AI72),EXP(AI115/100),"")</f>
        <v/>
      </c>
      <c r="AJ63" s="154"/>
      <c r="AK63" s="34"/>
      <c r="AL63" s="34"/>
      <c r="AM63" s="34"/>
      <c r="AN63" s="34"/>
      <c r="AO63" s="34"/>
      <c r="AP63" s="34"/>
      <c r="AQ63" s="34"/>
      <c r="AR63" s="34"/>
    </row>
    <row r="64" spans="1:44" ht="14" x14ac:dyDescent="0.15">
      <c r="A64" s="7"/>
      <c r="B64" s="7"/>
      <c r="C64" s="7"/>
      <c r="D64" s="7"/>
      <c r="E64" s="7"/>
      <c r="F64" s="7"/>
      <c r="G64" s="7"/>
      <c r="H64" s="106" t="s">
        <v>101</v>
      </c>
      <c r="I64" s="7"/>
      <c r="J64" s="144"/>
      <c r="K64" s="13" t="s">
        <v>102</v>
      </c>
      <c r="L64" s="83">
        <f t="shared" ref="L64:Q64" si="16">IF(L71,1+1/(4*L71),"")</f>
        <v>1.0166666666666666</v>
      </c>
      <c r="M64" s="83" t="str">
        <f t="shared" si="16"/>
        <v/>
      </c>
      <c r="N64" s="83" t="str">
        <f t="shared" si="16"/>
        <v/>
      </c>
      <c r="O64" s="83" t="str">
        <f t="shared" si="16"/>
        <v/>
      </c>
      <c r="P64" s="83" t="str">
        <f t="shared" si="16"/>
        <v/>
      </c>
      <c r="Q64" s="86">
        <f t="shared" si="16"/>
        <v>1.0166666666666666</v>
      </c>
      <c r="R64" s="153"/>
      <c r="S64" s="156"/>
      <c r="T64" s="156"/>
      <c r="U64" s="156"/>
      <c r="V64" s="156"/>
      <c r="W64" s="156"/>
      <c r="X64" s="156"/>
      <c r="Y64" s="156"/>
      <c r="Z64" s="156"/>
      <c r="AA64" s="9"/>
      <c r="AB64" s="129"/>
      <c r="AC64" s="157" t="s">
        <v>100</v>
      </c>
      <c r="AD64" s="83" t="str">
        <f t="shared" ref="AD64:AI64" si="17">IF(ISNUMBER(AD62),SQRT(AD63/AD62),"")</f>
        <v/>
      </c>
      <c r="AE64" s="83" t="str">
        <f t="shared" si="17"/>
        <v/>
      </c>
      <c r="AF64" s="83" t="str">
        <f t="shared" si="17"/>
        <v/>
      </c>
      <c r="AG64" s="83" t="str">
        <f t="shared" si="17"/>
        <v/>
      </c>
      <c r="AH64" s="83" t="str">
        <f t="shared" si="17"/>
        <v/>
      </c>
      <c r="AI64" s="86" t="str">
        <f t="shared" si="17"/>
        <v/>
      </c>
      <c r="AJ64" s="158"/>
      <c r="AK64" s="34"/>
      <c r="AL64" s="34"/>
      <c r="AM64" s="34"/>
      <c r="AN64" s="34"/>
      <c r="AO64" s="34"/>
      <c r="AP64" s="34"/>
      <c r="AQ64" s="34"/>
      <c r="AR64" s="34"/>
    </row>
    <row r="65" spans="1:44" ht="14" x14ac:dyDescent="0.15">
      <c r="A65" s="7"/>
      <c r="B65" s="7"/>
      <c r="C65" s="7"/>
      <c r="D65" s="7"/>
      <c r="E65" s="7"/>
      <c r="F65" s="7"/>
      <c r="G65" s="7"/>
      <c r="H65" s="159">
        <f>(E46-D46)/J47</f>
        <v>6.7277235234261379E-2</v>
      </c>
      <c r="I65" s="7"/>
      <c r="J65" s="144"/>
      <c r="K65" s="138" t="s">
        <v>103</v>
      </c>
      <c r="L65" s="83">
        <f t="shared" ref="L65:Q65" si="18">IF(L$71*(L87&gt;0),$D$26*SQRT(L98),"")</f>
        <v>1.8083650057766676</v>
      </c>
      <c r="M65" s="83" t="str">
        <f t="shared" si="18"/>
        <v/>
      </c>
      <c r="N65" s="83" t="str">
        <f t="shared" si="18"/>
        <v/>
      </c>
      <c r="O65" s="83" t="str">
        <f t="shared" si="18"/>
        <v/>
      </c>
      <c r="P65" s="83" t="str">
        <f t="shared" si="18"/>
        <v/>
      </c>
      <c r="Q65" s="86" t="e">
        <f t="shared" si="18"/>
        <v>#REF!</v>
      </c>
      <c r="R65" s="153"/>
      <c r="S65" s="156"/>
      <c r="T65" s="156"/>
      <c r="U65" s="156"/>
      <c r="V65" s="156"/>
      <c r="W65" s="156"/>
      <c r="X65" s="156"/>
      <c r="Y65" s="156"/>
      <c r="Z65" s="156"/>
      <c r="AA65" s="9"/>
      <c r="AB65" s="129"/>
      <c r="AC65" s="18" t="s">
        <v>102</v>
      </c>
      <c r="AD65" s="83" t="str">
        <f t="shared" ref="AD65:AI65" si="19">IF(ISNUMBER(AD61),AD61^AD116/AD61,"")</f>
        <v/>
      </c>
      <c r="AE65" s="83" t="str">
        <f t="shared" si="19"/>
        <v/>
      </c>
      <c r="AF65" s="83" t="str">
        <f t="shared" si="19"/>
        <v/>
      </c>
      <c r="AG65" s="83" t="str">
        <f t="shared" si="19"/>
        <v/>
      </c>
      <c r="AH65" s="83" t="str">
        <f t="shared" si="19"/>
        <v/>
      </c>
      <c r="AI65" s="86" t="str">
        <f t="shared" si="19"/>
        <v/>
      </c>
      <c r="AJ65" s="158"/>
      <c r="AK65" s="34"/>
      <c r="AL65" s="34"/>
      <c r="AM65" s="34"/>
      <c r="AN65" s="34"/>
      <c r="AO65" s="34"/>
      <c r="AP65" s="34"/>
      <c r="AQ65" s="34"/>
      <c r="AR65" s="34"/>
    </row>
    <row r="66" spans="1:44" ht="14" x14ac:dyDescent="0.15">
      <c r="A66" s="7"/>
      <c r="B66" s="7"/>
      <c r="C66" s="7"/>
      <c r="D66" s="7"/>
      <c r="E66" s="7"/>
      <c r="F66" s="7"/>
      <c r="G66" s="7"/>
      <c r="H66" s="7"/>
      <c r="I66" s="7"/>
      <c r="J66" s="144"/>
      <c r="K66" s="13" t="s">
        <v>92</v>
      </c>
      <c r="L66" s="83">
        <f>IF(L$71*(L87&gt;0),0.2*(IF(L100&gt;0,SQRT(L100),-SQRT(-L100))),"")</f>
        <v>0.89087465318293357</v>
      </c>
      <c r="M66" s="119" t="str">
        <f>IF(M$71*(M87&gt;0),0.2*(IF(M100&gt;0,SQRT(M100),-SQRT(-M100))),"")</f>
        <v/>
      </c>
      <c r="N66" s="119" t="str">
        <f>IF(N$71*(N87&gt;0),0.2*(IF(N100&gt;0,SQRT(N100),-SQRT(-N100))),"")</f>
        <v/>
      </c>
      <c r="O66" s="119" t="str">
        <f>IF(O$71*(O87&gt;0),0.2*(IF(O100&gt;0,SQRT(O100),-SQRT(-O100))),"")</f>
        <v/>
      </c>
      <c r="P66" s="119" t="str">
        <f>IF(P$71*(P87&gt;0),0.2*(IF(P100&gt;0,SQRT(P100),-SQRT(-P100))),"")</f>
        <v/>
      </c>
      <c r="Q66" s="86" t="e">
        <f>IF(Q$71*(Q87&gt;0),0.2*IF(Q100&gt;0,SQRT(Q100),-SQRT(-Q100)),"")</f>
        <v>#REF!</v>
      </c>
      <c r="R66" s="153"/>
      <c r="S66" s="156"/>
      <c r="T66" s="156"/>
      <c r="U66" s="156"/>
      <c r="V66" s="156"/>
      <c r="W66" s="156"/>
      <c r="X66" s="156"/>
      <c r="Y66" s="156"/>
      <c r="Z66" s="156"/>
      <c r="AA66" s="9"/>
      <c r="AB66" s="129"/>
      <c r="AC66" s="124" t="s">
        <v>103</v>
      </c>
      <c r="AD66" s="125" t="str">
        <f t="shared" ref="AD66:AI71" si="20">IF(ISNUMBER(AD117),EXP(AD117/100),"")</f>
        <v/>
      </c>
      <c r="AE66" s="125" t="str">
        <f t="shared" si="20"/>
        <v/>
      </c>
      <c r="AF66" s="125" t="str">
        <f t="shared" si="20"/>
        <v/>
      </c>
      <c r="AG66" s="125" t="str">
        <f t="shared" si="20"/>
        <v/>
      </c>
      <c r="AH66" s="125" t="str">
        <f t="shared" si="20"/>
        <v/>
      </c>
      <c r="AI66" s="140" t="str">
        <f t="shared" si="20"/>
        <v/>
      </c>
      <c r="AJ66" s="158"/>
      <c r="AK66" s="34"/>
      <c r="AL66" s="34"/>
      <c r="AM66" s="34"/>
      <c r="AN66" s="34"/>
      <c r="AO66" s="34"/>
      <c r="AP66" s="34"/>
      <c r="AQ66" s="34"/>
      <c r="AR66" s="34"/>
    </row>
    <row r="67" spans="1:44" ht="14" x14ac:dyDescent="0.15">
      <c r="A67" s="7"/>
      <c r="B67" s="7"/>
      <c r="C67" s="7"/>
      <c r="D67" s="7"/>
      <c r="E67" s="7"/>
      <c r="F67" s="7"/>
      <c r="G67" s="7"/>
      <c r="H67" s="106" t="s">
        <v>104</v>
      </c>
      <c r="I67" s="7"/>
      <c r="J67" s="144"/>
      <c r="K67" s="13" t="s">
        <v>95</v>
      </c>
      <c r="L67" s="83">
        <f t="shared" ref="L67:Q67" si="21">IF(L$71*(L87&gt;0),0.2*SQRT(L101),"")</f>
        <v>2.3972297221066405</v>
      </c>
      <c r="M67" s="133" t="str">
        <f t="shared" si="21"/>
        <v/>
      </c>
      <c r="N67" s="133" t="str">
        <f t="shared" si="21"/>
        <v/>
      </c>
      <c r="O67" s="133" t="str">
        <f t="shared" si="21"/>
        <v/>
      </c>
      <c r="P67" s="133" t="str">
        <f t="shared" si="21"/>
        <v/>
      </c>
      <c r="Q67" s="86" t="e">
        <f t="shared" si="21"/>
        <v>#REF!</v>
      </c>
      <c r="R67" s="132"/>
      <c r="S67" s="156"/>
      <c r="T67" s="156"/>
      <c r="U67" s="156"/>
      <c r="V67" s="156"/>
      <c r="W67" s="156"/>
      <c r="X67" s="156"/>
      <c r="Y67" s="156"/>
      <c r="Z67" s="156"/>
      <c r="AA67" s="9"/>
      <c r="AB67" s="129"/>
      <c r="AC67" s="18" t="s">
        <v>92</v>
      </c>
      <c r="AD67" s="119" t="str">
        <f t="shared" si="20"/>
        <v/>
      </c>
      <c r="AE67" s="119" t="str">
        <f t="shared" si="20"/>
        <v/>
      </c>
      <c r="AF67" s="119" t="str">
        <f t="shared" si="20"/>
        <v/>
      </c>
      <c r="AG67" s="119" t="str">
        <f t="shared" si="20"/>
        <v/>
      </c>
      <c r="AH67" s="119" t="str">
        <f t="shared" si="20"/>
        <v/>
      </c>
      <c r="AI67" s="150" t="str">
        <f t="shared" si="20"/>
        <v/>
      </c>
      <c r="AJ67" s="158"/>
      <c r="AK67" s="34"/>
      <c r="AL67" s="34"/>
      <c r="AM67" s="34"/>
      <c r="AN67" s="34"/>
      <c r="AO67" s="34"/>
      <c r="AP67" s="34"/>
      <c r="AQ67" s="34"/>
      <c r="AR67" s="34"/>
    </row>
    <row r="68" spans="1:44" ht="14" x14ac:dyDescent="0.15">
      <c r="A68" s="7"/>
      <c r="B68" s="7"/>
      <c r="C68" s="7"/>
      <c r="D68" s="7"/>
      <c r="E68" s="7"/>
      <c r="F68" s="7"/>
      <c r="G68" s="7"/>
      <c r="H68" s="159">
        <f>(J47/J46)*100</f>
        <v>30.081389127928059</v>
      </c>
      <c r="I68" s="7"/>
      <c r="J68" s="144"/>
      <c r="K68" s="138" t="s">
        <v>105</v>
      </c>
      <c r="L68" s="83">
        <f>IF(L$71,$D$26*SQRT(SUMPRODUCT(D$47:E$47,D$47:E$47,D$50:E$50)/SUM(D$50:E$50)),"")</f>
        <v>1.8616995713910578</v>
      </c>
      <c r="M68" s="83" t="str">
        <f>IF(M$71,$D$26*SQRT(SUMPRODUCT(E$47:F$47,E$47:F$47,E$50:F$50)/SUM(E$50:F$50)),"")</f>
        <v/>
      </c>
      <c r="N68" s="83" t="str">
        <f>IF(N$71,$D$26*SQRT(SUMPRODUCT(F$47:G$47,F$47:G$47,F$50:G$50)/SUM(F$50:G$50)),"")</f>
        <v/>
      </c>
      <c r="O68" s="83" t="str">
        <f>IF(O$71,$D$26*SQRT(SUMPRODUCT(G$47:H$47,G$47:H$47,G$50:H$50)/SUM(G$50:H$50)),"")</f>
        <v/>
      </c>
      <c r="P68" s="83" t="str">
        <f>IF(P$71,$D$26*SQRT(SUMPRODUCT(H$47:I$47,H$47:I$47,H$50:I$50)/SUM(H$50:I$50)),"")</f>
        <v/>
      </c>
      <c r="Q68" s="86">
        <f>$D$26*J47</f>
        <v>1.8616995713910578</v>
      </c>
      <c r="R68" s="141"/>
      <c r="S68" s="142"/>
      <c r="T68" s="142"/>
      <c r="U68" s="142"/>
      <c r="V68" s="142"/>
      <c r="W68" s="142"/>
      <c r="X68" s="142"/>
      <c r="Y68" s="142"/>
      <c r="Z68" s="142"/>
      <c r="AA68" s="9"/>
      <c r="AB68" s="129"/>
      <c r="AC68" s="18" t="s">
        <v>95</v>
      </c>
      <c r="AD68" s="133" t="str">
        <f t="shared" si="20"/>
        <v/>
      </c>
      <c r="AE68" s="133" t="str">
        <f t="shared" si="20"/>
        <v/>
      </c>
      <c r="AF68" s="133" t="str">
        <f t="shared" si="20"/>
        <v/>
      </c>
      <c r="AG68" s="133" t="str">
        <f t="shared" si="20"/>
        <v/>
      </c>
      <c r="AH68" s="133" t="str">
        <f t="shared" si="20"/>
        <v/>
      </c>
      <c r="AI68" s="155" t="str">
        <f t="shared" si="20"/>
        <v/>
      </c>
      <c r="AJ68" s="158"/>
      <c r="AK68" s="34"/>
      <c r="AL68" s="34"/>
      <c r="AM68" s="34"/>
      <c r="AN68" s="34"/>
      <c r="AO68" s="34"/>
      <c r="AP68" s="34"/>
      <c r="AQ68" s="34"/>
      <c r="AR68" s="34"/>
    </row>
    <row r="69" spans="1:44" x14ac:dyDescent="0.15">
      <c r="A69" s="7"/>
      <c r="B69" s="7"/>
      <c r="C69" s="7"/>
      <c r="D69" s="7"/>
      <c r="E69" s="7"/>
      <c r="F69" s="7"/>
      <c r="G69" s="7"/>
      <c r="H69" s="7"/>
      <c r="I69" s="7"/>
      <c r="J69" s="144"/>
      <c r="K69" s="13" t="s">
        <v>92</v>
      </c>
      <c r="L69" s="83">
        <f t="shared" ref="L69:Q69" si="22">IF(L71,SQRT(L92*L68^2/CHIINV((1-$D$27/100)/2,L92)),"")</f>
        <v>1.3752465170586745</v>
      </c>
      <c r="M69" s="119" t="str">
        <f t="shared" si="22"/>
        <v/>
      </c>
      <c r="N69" s="119" t="str">
        <f t="shared" si="22"/>
        <v/>
      </c>
      <c r="O69" s="119" t="str">
        <f t="shared" si="22"/>
        <v/>
      </c>
      <c r="P69" s="119" t="str">
        <f t="shared" si="22"/>
        <v/>
      </c>
      <c r="Q69" s="86" t="e">
        <f t="shared" si="22"/>
        <v>#REF!</v>
      </c>
      <c r="R69" s="160"/>
      <c r="S69" s="146"/>
      <c r="T69" s="146"/>
      <c r="U69" s="146"/>
      <c r="V69" s="146"/>
      <c r="W69" s="146"/>
      <c r="X69" s="146"/>
      <c r="Y69" s="146"/>
      <c r="Z69" s="146"/>
      <c r="AA69" s="9"/>
      <c r="AB69" s="129"/>
      <c r="AC69" s="124" t="s">
        <v>105</v>
      </c>
      <c r="AD69" s="125" t="str">
        <f t="shared" si="20"/>
        <v/>
      </c>
      <c r="AE69" s="125" t="str">
        <f t="shared" si="20"/>
        <v/>
      </c>
      <c r="AF69" s="125" t="str">
        <f t="shared" si="20"/>
        <v/>
      </c>
      <c r="AG69" s="125" t="str">
        <f t="shared" si="20"/>
        <v/>
      </c>
      <c r="AH69" s="125" t="str">
        <f t="shared" si="20"/>
        <v/>
      </c>
      <c r="AI69" s="140" t="str">
        <f t="shared" si="20"/>
        <v/>
      </c>
      <c r="AJ69" s="158"/>
    </row>
    <row r="70" spans="1:44" x14ac:dyDescent="0.15">
      <c r="A70" s="7"/>
      <c r="B70" s="7"/>
      <c r="C70" s="7"/>
      <c r="D70" s="7"/>
      <c r="E70" s="7"/>
      <c r="F70" s="7"/>
      <c r="G70" s="7"/>
      <c r="H70" s="7"/>
      <c r="I70" s="7"/>
      <c r="J70" s="144"/>
      <c r="K70" s="13" t="s">
        <v>95</v>
      </c>
      <c r="L70" s="83">
        <f t="shared" ref="L70:Q70" si="23">IF(L71,SQRT(L92*L68^2/CHIINV(1-(1-$D$27/100)/2,L92)),"")</f>
        <v>2.8813360859761468</v>
      </c>
      <c r="M70" s="128" t="str">
        <f t="shared" si="23"/>
        <v/>
      </c>
      <c r="N70" s="128" t="str">
        <f t="shared" si="23"/>
        <v/>
      </c>
      <c r="O70" s="128" t="str">
        <f t="shared" si="23"/>
        <v/>
      </c>
      <c r="P70" s="128" t="str">
        <f t="shared" si="23"/>
        <v/>
      </c>
      <c r="Q70" s="86" t="e">
        <f t="shared" si="23"/>
        <v>#REF!</v>
      </c>
      <c r="R70" s="7"/>
      <c r="S70" s="161"/>
      <c r="T70" s="161"/>
      <c r="U70" s="161"/>
      <c r="V70" s="161"/>
      <c r="W70" s="161"/>
      <c r="X70" s="161"/>
      <c r="Y70" s="161"/>
      <c r="Z70" s="161"/>
      <c r="AA70" s="9"/>
      <c r="AB70" s="129"/>
      <c r="AC70" s="18" t="s">
        <v>92</v>
      </c>
      <c r="AD70" s="119" t="str">
        <f t="shared" si="20"/>
        <v/>
      </c>
      <c r="AE70" s="119" t="str">
        <f t="shared" si="20"/>
        <v/>
      </c>
      <c r="AF70" s="119" t="str">
        <f t="shared" si="20"/>
        <v/>
      </c>
      <c r="AG70" s="119" t="str">
        <f t="shared" si="20"/>
        <v/>
      </c>
      <c r="AH70" s="119" t="str">
        <f t="shared" si="20"/>
        <v/>
      </c>
      <c r="AI70" s="150" t="str">
        <f t="shared" si="20"/>
        <v/>
      </c>
      <c r="AJ70" s="9"/>
    </row>
    <row r="71" spans="1:44" s="3" customFormat="1" x14ac:dyDescent="0.15">
      <c r="A71" s="105"/>
      <c r="B71" s="105"/>
      <c r="C71" s="105"/>
      <c r="D71" s="105"/>
      <c r="E71" s="105"/>
      <c r="F71" s="105"/>
      <c r="G71" s="105"/>
      <c r="H71" s="105"/>
      <c r="I71" s="105"/>
      <c r="J71" s="137"/>
      <c r="K71" s="162" t="s">
        <v>106</v>
      </c>
      <c r="L71" s="80">
        <f>IF(AND(D48&gt;0,E48&gt;0),L48-1,0)</f>
        <v>15</v>
      </c>
      <c r="M71" s="80">
        <f>IF(AND(E48&gt;0,F48&gt;0),M48-1,0)</f>
        <v>0</v>
      </c>
      <c r="N71" s="80">
        <f>IF(AND(F48&gt;0,G48&gt;0),N48-1,0)</f>
        <v>0</v>
      </c>
      <c r="O71" s="80">
        <f>IF(AND(G48&gt;0,H48&gt;0),O48-1,0)</f>
        <v>0</v>
      </c>
      <c r="P71" s="80">
        <f>IF(AND(H48&gt;0,I48&gt;0),P48-1,0)</f>
        <v>0</v>
      </c>
      <c r="Q71" s="163">
        <f>IF(COUNTIF(L71:P71,"&gt;0")=1,SUM(L71:P71),(1-0.22*SUM(D48:I48)/(COUNTIF(D48:I48,"&gt;0")*R46))*SUM(L71:P71))</f>
        <v>15</v>
      </c>
      <c r="R71" s="164"/>
      <c r="S71" s="9"/>
      <c r="T71" s="9"/>
      <c r="U71" s="9"/>
      <c r="V71" s="9"/>
      <c r="W71" s="9"/>
      <c r="X71" s="9"/>
      <c r="Y71" s="9"/>
      <c r="Z71" s="9"/>
      <c r="AA71" s="9"/>
      <c r="AB71" s="129"/>
      <c r="AC71" s="18" t="s">
        <v>95</v>
      </c>
      <c r="AD71" s="133" t="str">
        <f t="shared" si="20"/>
        <v/>
      </c>
      <c r="AE71" s="133" t="str">
        <f t="shared" si="20"/>
        <v/>
      </c>
      <c r="AF71" s="133" t="str">
        <f t="shared" si="20"/>
        <v/>
      </c>
      <c r="AG71" s="133" t="str">
        <f t="shared" si="20"/>
        <v/>
      </c>
      <c r="AH71" s="133" t="str">
        <f t="shared" si="20"/>
        <v/>
      </c>
      <c r="AI71" s="155" t="str">
        <f t="shared" si="20"/>
        <v/>
      </c>
      <c r="AJ71" s="9"/>
    </row>
    <row r="72" spans="1:44" x14ac:dyDescent="0.15">
      <c r="A72" s="7"/>
      <c r="B72" s="7"/>
      <c r="C72" s="7"/>
      <c r="D72" s="7"/>
      <c r="E72" s="7"/>
      <c r="F72" s="7"/>
      <c r="G72" s="7"/>
      <c r="H72" s="7"/>
      <c r="I72" s="7"/>
      <c r="J72" s="256" t="s">
        <v>107</v>
      </c>
      <c r="K72" s="257"/>
      <c r="L72" s="165"/>
      <c r="M72" s="165"/>
      <c r="N72" s="165"/>
      <c r="O72" s="165"/>
      <c r="P72" s="165"/>
      <c r="Q72" s="166"/>
      <c r="R72" s="167"/>
      <c r="S72" s="168"/>
      <c r="T72" s="168"/>
      <c r="U72" s="168"/>
      <c r="V72" s="168"/>
      <c r="W72" s="168"/>
      <c r="X72" s="168"/>
      <c r="Y72" s="168"/>
      <c r="Z72" s="168"/>
      <c r="AA72" s="122"/>
      <c r="AB72" s="169"/>
      <c r="AC72" s="170" t="s">
        <v>106</v>
      </c>
      <c r="AD72" s="71">
        <f>AD123</f>
        <v>0</v>
      </c>
      <c r="AE72" s="71">
        <f>AE123</f>
        <v>0</v>
      </c>
      <c r="AF72" s="71">
        <f>AF123</f>
        <v>0</v>
      </c>
      <c r="AG72" s="71">
        <f>AG123</f>
        <v>0</v>
      </c>
      <c r="AH72" s="71">
        <f>AH123</f>
        <v>0</v>
      </c>
      <c r="AI72" s="171" t="str">
        <f>IF(ISERROR(AI123),"",AI123)</f>
        <v/>
      </c>
      <c r="AJ72" s="172"/>
    </row>
    <row r="73" spans="1:44" x14ac:dyDescent="0.15">
      <c r="A73" s="7"/>
      <c r="B73" s="7"/>
      <c r="C73" s="7"/>
      <c r="D73" s="7"/>
      <c r="E73" s="7"/>
      <c r="F73" s="7"/>
      <c r="G73" s="7"/>
      <c r="H73" s="7"/>
      <c r="I73" s="7"/>
      <c r="J73" s="117"/>
      <c r="K73" s="138" t="s">
        <v>89</v>
      </c>
      <c r="L73" s="125">
        <f>IF(L$71*(L87&gt;0),L56/SQRT((SUMPRODUCT(D$47:E$47,D$47:E$47,D$50:E$50)/SUM(D$50:E$50))-L60^2),"")</f>
        <v>6.9261459716318141E-2</v>
      </c>
      <c r="M73" s="125" t="str">
        <f>IF(M$71*(M87&gt;0),M56/SQRT((SUMPRODUCT(E$47:F$47,E$47:F$47,E$50:F$50)/SUM(E$50:F$50))-M60^2),"")</f>
        <v/>
      </c>
      <c r="N73" s="125" t="str">
        <f>IF(N$71*(N87&gt;0),N56/SQRT((SUMPRODUCT(F$47:G$47,F$47:G$47,F$50:G$50)/SUM(F$50:G$50))-N60^2),"")</f>
        <v/>
      </c>
      <c r="O73" s="125" t="str">
        <f>IF(O$71*(O87&gt;0),O56/SQRT((SUMPRODUCT(G$47:H$47,G$47:H$47,G$50:H$50)/SUM(G$50:H$50))-O60^2),"")</f>
        <v/>
      </c>
      <c r="P73" s="125" t="str">
        <f>IF(P$71*(P87&gt;0),P56/SQRT((SUMPRODUCT(H$47:I$47,H$47:I$47,H$50:I$50)/SUM(H$50:I$50))-P60^2),"")</f>
        <v/>
      </c>
      <c r="Q73" s="173"/>
      <c r="R73" s="112"/>
      <c r="S73" s="174"/>
      <c r="T73" s="174"/>
      <c r="U73" s="174"/>
      <c r="V73" s="174"/>
      <c r="W73" s="174"/>
      <c r="X73" s="174"/>
      <c r="Y73" s="174"/>
      <c r="Z73" s="174"/>
      <c r="AA73" s="9"/>
      <c r="AB73" s="175" t="s">
        <v>108</v>
      </c>
      <c r="AC73" s="176"/>
      <c r="AD73" s="177"/>
      <c r="AE73" s="177"/>
      <c r="AF73" s="177"/>
      <c r="AG73" s="177"/>
      <c r="AH73" s="177"/>
      <c r="AI73" s="178"/>
      <c r="AJ73" s="179"/>
    </row>
    <row r="74" spans="1:44" x14ac:dyDescent="0.15">
      <c r="A74" s="7"/>
      <c r="B74" s="7"/>
      <c r="C74" s="7"/>
      <c r="D74" s="7"/>
      <c r="E74" s="7"/>
      <c r="F74" s="7"/>
      <c r="G74" s="7"/>
      <c r="H74" s="7"/>
      <c r="I74" s="7"/>
      <c r="J74" s="117"/>
      <c r="K74" s="13" t="s">
        <v>92</v>
      </c>
      <c r="L74" s="119">
        <f>IF(L$71*(L87&gt;0),L57/SQRT((SUMPRODUCT(D$47:E$47,D$47:E$47,D$50:E$50)/SUM(D$50:E$50))-L60^2),"")</f>
        <v>-0.11510639534479181</v>
      </c>
      <c r="M74" s="119" t="str">
        <f>IF(M$71*(M87&gt;0),M57/SQRT((SUMPRODUCT(E$47:F$47,E$47:F$47,E$50:F$50)/SUM(E$50:F$50))-M60^2),"")</f>
        <v/>
      </c>
      <c r="N74" s="119" t="str">
        <f>IF(N$71*(N87&gt;0),N57/SQRT((SUMPRODUCT(F$47:G$47,F$47:G$47,F$50:G$50)/SUM(F$50:G$50))-N60^2),"")</f>
        <v/>
      </c>
      <c r="O74" s="119" t="str">
        <f>IF(O$71*(O87&gt;0),O57/SQRT((SUMPRODUCT(G$47:H$47,G$47:H$47,G$50:H$50)/SUM(G$50:H$50))-O60^2),"")</f>
        <v/>
      </c>
      <c r="P74" s="119" t="str">
        <f>IF(P$71*(P87&gt;0),P57/SQRT((SUMPRODUCT(H$47:I$47,H$47:I$47,H$50:I$50)/SUM(H$50:I$50))-P60^2),"")</f>
        <v/>
      </c>
      <c r="Q74" s="180"/>
      <c r="R74" s="132"/>
      <c r="S74" s="120"/>
      <c r="T74" s="120"/>
      <c r="U74" s="120"/>
      <c r="V74" s="120"/>
      <c r="W74" s="120"/>
      <c r="X74" s="120"/>
      <c r="Y74" s="120"/>
      <c r="Z74" s="120"/>
      <c r="AA74" s="9"/>
      <c r="AB74" s="123"/>
      <c r="AC74" s="124" t="s">
        <v>80</v>
      </c>
      <c r="AD74" s="181" t="str">
        <f t="shared" ref="AD74:AH76" si="24">IF(ISNUMBER(AD110),100*EXP(AD110/100)-100,"")</f>
        <v/>
      </c>
      <c r="AE74" s="181" t="str">
        <f t="shared" si="24"/>
        <v/>
      </c>
      <c r="AF74" s="181" t="str">
        <f t="shared" si="24"/>
        <v/>
      </c>
      <c r="AG74" s="181" t="str">
        <f t="shared" si="24"/>
        <v/>
      </c>
      <c r="AH74" s="181" t="str">
        <f t="shared" si="24"/>
        <v/>
      </c>
      <c r="AI74" s="182"/>
      <c r="AJ74" s="120"/>
    </row>
    <row r="75" spans="1:44" x14ac:dyDescent="0.15">
      <c r="A75" s="7"/>
      <c r="B75" s="7"/>
      <c r="C75" s="7"/>
      <c r="D75" s="7"/>
      <c r="E75" s="7"/>
      <c r="F75" s="7"/>
      <c r="G75" s="7"/>
      <c r="H75" s="7"/>
      <c r="I75" s="7"/>
      <c r="J75" s="117"/>
      <c r="K75" s="13" t="s">
        <v>95</v>
      </c>
      <c r="L75" s="133">
        <f>IF(L$71*(L87&gt;0),L58/SQRT((SUMPRODUCT(D$47:E$47,D$47:E$47,D$50:E$50)/SUM(D$50:E$50))-L60^2),"")</f>
        <v>0.25362931477742806</v>
      </c>
      <c r="M75" s="133" t="str">
        <f>IF(M$71*(M87&gt;0),M58/SQRT((SUMPRODUCT(E$47:F$47,E$47:F$47,E$50:F$50)/SUM(E$50:F$50))-M60^2),"")</f>
        <v/>
      </c>
      <c r="N75" s="133" t="str">
        <f>IF(N$71*(N87&gt;0),N58/SQRT((SUMPRODUCT(F$47:G$47,F$47:G$47,F$50:G$50)/SUM(F$50:G$50))-N60^2),"")</f>
        <v/>
      </c>
      <c r="O75" s="133" t="str">
        <f>IF(O$71*(O87&gt;0),O58/SQRT((SUMPRODUCT(G$47:H$47,G$47:H$47,G$50:H$50)/SUM(G$50:H$50))-O60^2),"")</f>
        <v/>
      </c>
      <c r="P75" s="133" t="str">
        <f>IF(P$71*(P87&gt;0),P58/SQRT((SUMPRODUCT(H$47:I$47,H$47:I$47,H$50:I$50)/SUM(H$50:I$50))-P60^2),"")</f>
        <v/>
      </c>
      <c r="Q75" s="183"/>
      <c r="R75" s="141"/>
      <c r="S75" s="142"/>
      <c r="T75" s="142"/>
      <c r="U75" s="142"/>
      <c r="V75" s="142"/>
      <c r="W75" s="142"/>
      <c r="X75" s="142"/>
      <c r="Y75" s="142"/>
      <c r="Z75" s="142"/>
      <c r="AA75" s="9"/>
      <c r="AB75" s="129"/>
      <c r="AC75" s="18" t="s">
        <v>92</v>
      </c>
      <c r="AD75" s="184" t="str">
        <f t="shared" si="24"/>
        <v/>
      </c>
      <c r="AE75" s="184" t="str">
        <f t="shared" si="24"/>
        <v/>
      </c>
      <c r="AF75" s="184" t="str">
        <f t="shared" si="24"/>
        <v/>
      </c>
      <c r="AG75" s="184" t="str">
        <f t="shared" si="24"/>
        <v/>
      </c>
      <c r="AH75" s="184" t="str">
        <f t="shared" si="24"/>
        <v/>
      </c>
      <c r="AI75" s="185"/>
      <c r="AJ75" s="142"/>
    </row>
    <row r="76" spans="1:44" x14ac:dyDescent="0.15">
      <c r="A76" s="7"/>
      <c r="B76" s="7"/>
      <c r="C76" s="7"/>
      <c r="D76" s="7"/>
      <c r="E76" s="7"/>
      <c r="F76" s="7"/>
      <c r="G76" s="7"/>
      <c r="H76" s="7"/>
      <c r="I76" s="7"/>
      <c r="J76" s="117"/>
      <c r="K76" s="13" t="s">
        <v>96</v>
      </c>
      <c r="L76" s="83">
        <f>IF(ISNUMBER(L73),(L75-L74)/2,"")</f>
        <v>0.18436785506110992</v>
      </c>
      <c r="M76" s="83" t="str">
        <f>IF(ISNUMBER(M73),(M75-M74)/2,"")</f>
        <v/>
      </c>
      <c r="N76" s="83" t="str">
        <f>IF(ISNUMBER(N73),(N75-N74)/2,"")</f>
        <v/>
      </c>
      <c r="O76" s="83" t="str">
        <f>IF(ISNUMBER(O73),(O75-O74)/2,"")</f>
        <v/>
      </c>
      <c r="P76" s="83" t="str">
        <f>IF(ISNUMBER(P73),(P75-P74)/2,"")</f>
        <v/>
      </c>
      <c r="Q76" s="183"/>
      <c r="R76" s="160"/>
      <c r="S76" s="146"/>
      <c r="T76" s="146"/>
      <c r="U76" s="146"/>
      <c r="V76" s="146"/>
      <c r="W76" s="146"/>
      <c r="X76" s="146"/>
      <c r="Y76" s="146"/>
      <c r="Z76" s="146"/>
      <c r="AA76" s="9"/>
      <c r="AB76" s="129"/>
      <c r="AC76" s="18" t="s">
        <v>95</v>
      </c>
      <c r="AD76" s="186" t="str">
        <f t="shared" si="24"/>
        <v/>
      </c>
      <c r="AE76" s="186" t="str">
        <f t="shared" si="24"/>
        <v/>
      </c>
      <c r="AF76" s="186" t="str">
        <f t="shared" si="24"/>
        <v/>
      </c>
      <c r="AG76" s="186" t="str">
        <f t="shared" si="24"/>
        <v/>
      </c>
      <c r="AH76" s="186" t="str">
        <f t="shared" si="24"/>
        <v/>
      </c>
      <c r="AI76" s="187"/>
      <c r="AJ76" s="146"/>
    </row>
    <row r="77" spans="1:44" x14ac:dyDescent="0.15">
      <c r="A77" s="7"/>
      <c r="B77" s="7"/>
      <c r="C77" s="7"/>
      <c r="D77" s="7"/>
      <c r="E77" s="7"/>
      <c r="F77" s="7"/>
      <c r="G77" s="7"/>
      <c r="H77" s="7"/>
      <c r="I77" s="7"/>
      <c r="J77" s="117"/>
      <c r="K77" s="138" t="s">
        <v>97</v>
      </c>
      <c r="L77" s="125">
        <f>IF(L$71*(L87&gt;0),L60/SQRT((SUMPRODUCT(D$47:E$47,D$47:E$47,D$50:E$50)/SUM(D$50:E$50))-L60^2),"")</f>
        <v>0.24465558815241184</v>
      </c>
      <c r="M77" s="125" t="str">
        <f>IF(M$71*(M87&gt;0),M60/SQRT((SUMPRODUCT(E$47:F$47,E$47:F$47,E$50:F$50)/SUM(E$50:F$50))-M60^2),"")</f>
        <v/>
      </c>
      <c r="N77" s="125" t="str">
        <f>IF(N$71*(N87&gt;0),N60/SQRT((SUMPRODUCT(F$47:G$47,F$47:G$47,F$50:G$50)/SUM(F$50:G$50))-N60^2),"")</f>
        <v/>
      </c>
      <c r="O77" s="125" t="str">
        <f>IF(O$71*(O87&gt;0),O60/SQRT((SUMPRODUCT(G$47:H$47,G$47:H$47,G$50:H$50)/SUM(G$50:H$50))-O60^2),"")</f>
        <v/>
      </c>
      <c r="P77" s="125" t="str">
        <f>IF(P$71*(P87&gt;0),P60/SQRT((SUMPRODUCT(H$47:I$47,H$47:I$47,H$50:I$50)/SUM(H$50:I$50))-P60^2),"")</f>
        <v/>
      </c>
      <c r="Q77" s="140">
        <f>IF(Q$71,Q60/SQRT(J$47^2),"")</f>
        <v>0.23764661650104485</v>
      </c>
      <c r="R77" s="188"/>
      <c r="S77" s="161"/>
      <c r="T77" s="161"/>
      <c r="U77" s="161"/>
      <c r="V77" s="161"/>
      <c r="W77" s="161"/>
      <c r="X77" s="161"/>
      <c r="Y77" s="161"/>
      <c r="Z77" s="161"/>
      <c r="AA77" s="9"/>
      <c r="AB77" s="129"/>
      <c r="AC77" s="18" t="s">
        <v>109</v>
      </c>
      <c r="AD77" s="60" t="str">
        <f>IF(ISNUMBER(AD74),(AD76-AD75)/2,"")</f>
        <v/>
      </c>
      <c r="AE77" s="60" t="str">
        <f>IF(ISNUMBER(AE74),(AE76-AE75)/2,"")</f>
        <v/>
      </c>
      <c r="AF77" s="60" t="str">
        <f>IF(ISNUMBER(AF74),(AF76-AF75)/2,"")</f>
        <v/>
      </c>
      <c r="AG77" s="60" t="str">
        <f>IF(ISNUMBER(AG74),(AG76-AG75)/2,"")</f>
        <v/>
      </c>
      <c r="AH77" s="60" t="str">
        <f>IF(ISNUMBER(AH74),(AH76-AH75)/2,"")</f>
        <v/>
      </c>
      <c r="AI77" s="187"/>
      <c r="AJ77" s="161"/>
    </row>
    <row r="78" spans="1:44" x14ac:dyDescent="0.15">
      <c r="A78" s="7"/>
      <c r="B78" s="7"/>
      <c r="C78" s="7"/>
      <c r="D78" s="7"/>
      <c r="E78" s="7"/>
      <c r="F78" s="7"/>
      <c r="G78" s="7"/>
      <c r="H78" s="7"/>
      <c r="I78" s="7"/>
      <c r="J78" s="117"/>
      <c r="K78" s="13" t="s">
        <v>92</v>
      </c>
      <c r="L78" s="119">
        <f>IF(L$71*(L87&gt;0),L61/SQRT((SUMPRODUCT(D$47:E$47,D$47:E$47,D$50:E$50)/SUM(D$50:E$50))-L60^2),"")</f>
        <v>0.18072827144400233</v>
      </c>
      <c r="M78" s="119" t="str">
        <f>IF(M$71*(M87&gt;0),M61/SQRT((SUMPRODUCT(E$47:F$47,E$47:F$47,E$50:F$50)/SUM(E$50:F$50))-M60^2),"")</f>
        <v/>
      </c>
      <c r="N78" s="119" t="str">
        <f>IF(N$71*(N87&gt;0),N61/SQRT((SUMPRODUCT(F$47:G$47,F$47:G$47,F$50:G$50)/SUM(F$50:G$50))-N60^2),"")</f>
        <v/>
      </c>
      <c r="O78" s="119" t="str">
        <f>IF(O$71*(O87&gt;0),O61/SQRT((SUMPRODUCT(G$47:H$47,G$47:H$47,G$50:H$50)/SUM(G$50:H$50))-O60^2),"")</f>
        <v/>
      </c>
      <c r="P78" s="119" t="str">
        <f>IF(P$71*(P87&gt;0),P61/SQRT((SUMPRODUCT(H$47:I$47,H$47:I$47,H$50:I$50)/SUM(H$50:I$50))-P60^2),"")</f>
        <v/>
      </c>
      <c r="Q78" s="150">
        <f>IF(Q$71,Q61/SQRT(J$47^2),"")</f>
        <v>0.17555071003730172</v>
      </c>
      <c r="R78" s="188"/>
      <c r="S78" s="189"/>
      <c r="T78" s="189"/>
      <c r="U78" s="189"/>
      <c r="V78" s="189"/>
      <c r="W78" s="189"/>
      <c r="X78" s="189"/>
      <c r="Y78" s="189"/>
      <c r="Z78" s="189"/>
      <c r="AA78" s="9"/>
      <c r="AB78" s="123"/>
      <c r="AC78" s="124" t="s">
        <v>110</v>
      </c>
      <c r="AD78" s="181" t="str">
        <f t="shared" ref="AD78:AH80" si="25">IF(ISNUMBER(AD113),100*EXP(AD113/100)-100,"")</f>
        <v/>
      </c>
      <c r="AE78" s="181" t="str">
        <f t="shared" si="25"/>
        <v/>
      </c>
      <c r="AF78" s="181" t="str">
        <f t="shared" si="25"/>
        <v/>
      </c>
      <c r="AG78" s="181" t="str">
        <f t="shared" si="25"/>
        <v/>
      </c>
      <c r="AH78" s="181" t="str">
        <f t="shared" si="25"/>
        <v/>
      </c>
      <c r="AI78" s="61" t="str">
        <f>IF(ISNUMBER(AI72),100*EXP(AI113/100)-100,"")</f>
        <v/>
      </c>
      <c r="AJ78" s="189"/>
    </row>
    <row r="79" spans="1:44" x14ac:dyDescent="0.15">
      <c r="A79" s="7"/>
      <c r="B79" s="7"/>
      <c r="C79" s="7"/>
      <c r="D79" s="7"/>
      <c r="E79" s="7"/>
      <c r="F79" s="7"/>
      <c r="G79" s="7"/>
      <c r="H79" s="7"/>
      <c r="I79" s="7"/>
      <c r="J79" s="117"/>
      <c r="K79" s="13" t="s">
        <v>95</v>
      </c>
      <c r="L79" s="133">
        <f>IF(L$71*(L87&gt;0),L62/SQRT((SUMPRODUCT(D$47:E$47,D$47:E$47,D$50:E$50)/SUM(D$50:E$50))-L60^2),"")</f>
        <v>0.3786513063719173</v>
      </c>
      <c r="M79" s="133" t="str">
        <f>IF(M$71*(M87&gt;0),M62/SQRT((SUMPRODUCT(E$47:F$47,E$47:F$47,E$50:F$50)/SUM(E$50:F$50))-M60^2),"")</f>
        <v/>
      </c>
      <c r="N79" s="133" t="str">
        <f>IF(N$71*(N87&gt;0),N62/SQRT((SUMPRODUCT(F$47:G$47,F$47:G$47,F$50:G$50)/SUM(F$50:G$50))-N60^2),"")</f>
        <v/>
      </c>
      <c r="O79" s="133" t="str">
        <f>IF(O$71*(O87&gt;0),O62/SQRT((SUMPRODUCT(G$47:H$47,G$47:H$47,G$50:H$50)/SUM(G$50:H$50))-O60^2),"")</f>
        <v/>
      </c>
      <c r="P79" s="133" t="str">
        <f>IF(P$71*(P87&gt;0),P62/SQRT((SUMPRODUCT(H$47:I$47,H$47:I$47,H$50:I$50)/SUM(H$50:I$50))-P60^2),"")</f>
        <v/>
      </c>
      <c r="Q79" s="155">
        <f>IF(Q$71,Q62/SQRT(J$47^2),"")</f>
        <v>0.36780358246683104</v>
      </c>
      <c r="R79" s="190"/>
      <c r="S79" s="189"/>
      <c r="T79" s="189"/>
      <c r="U79" s="189"/>
      <c r="V79" s="189"/>
      <c r="W79" s="189"/>
      <c r="X79" s="189"/>
      <c r="Y79" s="189"/>
      <c r="Z79" s="189"/>
      <c r="AA79" s="9"/>
      <c r="AB79" s="129"/>
      <c r="AC79" s="18" t="s">
        <v>92</v>
      </c>
      <c r="AD79" s="184" t="str">
        <f t="shared" si="25"/>
        <v/>
      </c>
      <c r="AE79" s="184" t="str">
        <f t="shared" si="25"/>
        <v/>
      </c>
      <c r="AF79" s="184" t="str">
        <f t="shared" si="25"/>
        <v/>
      </c>
      <c r="AG79" s="184" t="str">
        <f t="shared" si="25"/>
        <v/>
      </c>
      <c r="AH79" s="184" t="str">
        <f t="shared" si="25"/>
        <v/>
      </c>
      <c r="AI79" s="191" t="str">
        <f>IF(ISNUMBER(AI72),100*EXP(AI114/100)-100,"")</f>
        <v/>
      </c>
      <c r="AJ79" s="189"/>
      <c r="AK79" s="192"/>
      <c r="AL79" s="193"/>
      <c r="AM79" s="194"/>
      <c r="AN79" s="194"/>
      <c r="AO79" s="194"/>
      <c r="AP79" s="194"/>
      <c r="AQ79" s="194"/>
      <c r="AR79" s="192"/>
    </row>
    <row r="80" spans="1:44" x14ac:dyDescent="0.15">
      <c r="A80" s="7"/>
      <c r="B80" s="7"/>
      <c r="C80" s="7"/>
      <c r="D80" s="7"/>
      <c r="E80" s="7"/>
      <c r="F80" s="7"/>
      <c r="G80" s="7"/>
      <c r="H80" s="7"/>
      <c r="I80" s="7"/>
      <c r="J80" s="117"/>
      <c r="K80" s="152" t="s">
        <v>100</v>
      </c>
      <c r="L80" s="83">
        <f t="shared" ref="L80:Q80" si="26">IF(ISNUMBER(L77),SQRT(L79/L78),"")</f>
        <v>1.4474603710322742</v>
      </c>
      <c r="M80" s="83" t="str">
        <f t="shared" si="26"/>
        <v/>
      </c>
      <c r="N80" s="83" t="str">
        <f t="shared" si="26"/>
        <v/>
      </c>
      <c r="O80" s="83" t="str">
        <f t="shared" si="26"/>
        <v/>
      </c>
      <c r="P80" s="83" t="str">
        <f t="shared" si="26"/>
        <v/>
      </c>
      <c r="Q80" s="86">
        <f t="shared" si="26"/>
        <v>1.4474603710322742</v>
      </c>
      <c r="R80" s="190"/>
      <c r="S80" s="48"/>
      <c r="T80" s="48"/>
      <c r="U80" s="48"/>
      <c r="V80" s="48"/>
      <c r="W80" s="48"/>
      <c r="X80" s="48"/>
      <c r="Y80" s="48"/>
      <c r="Z80" s="48"/>
      <c r="AA80" s="9"/>
      <c r="AB80" s="129"/>
      <c r="AC80" s="18" t="s">
        <v>95</v>
      </c>
      <c r="AD80" s="186" t="str">
        <f t="shared" si="25"/>
        <v/>
      </c>
      <c r="AE80" s="186" t="str">
        <f t="shared" si="25"/>
        <v/>
      </c>
      <c r="AF80" s="186" t="str">
        <f t="shared" si="25"/>
        <v/>
      </c>
      <c r="AG80" s="186" t="str">
        <f t="shared" si="25"/>
        <v/>
      </c>
      <c r="AH80" s="186" t="str">
        <f t="shared" si="25"/>
        <v/>
      </c>
      <c r="AI80" s="195" t="str">
        <f>IF(ISNUMBER(AI72),100*EXP(AI115/100)-100,"")</f>
        <v/>
      </c>
      <c r="AJ80" s="48"/>
      <c r="AK80" s="192"/>
      <c r="AL80" s="193"/>
      <c r="AM80" s="194"/>
      <c r="AN80" s="194"/>
      <c r="AO80" s="194"/>
      <c r="AP80" s="194"/>
      <c r="AQ80" s="194"/>
      <c r="AR80" s="192"/>
    </row>
    <row r="81" spans="1:44" x14ac:dyDescent="0.15">
      <c r="A81" s="7"/>
      <c r="B81" s="7"/>
      <c r="C81" s="7"/>
      <c r="D81" s="7"/>
      <c r="E81" s="7"/>
      <c r="F81" s="7"/>
      <c r="G81" s="7"/>
      <c r="H81" s="7"/>
      <c r="I81" s="7"/>
      <c r="J81" s="196"/>
      <c r="K81" s="13" t="s">
        <v>102</v>
      </c>
      <c r="L81" s="83">
        <f t="shared" ref="L81:Q81" si="27">L64</f>
        <v>1.0166666666666666</v>
      </c>
      <c r="M81" s="83" t="str">
        <f t="shared" si="27"/>
        <v/>
      </c>
      <c r="N81" s="83" t="str">
        <f t="shared" si="27"/>
        <v/>
      </c>
      <c r="O81" s="83" t="str">
        <f t="shared" si="27"/>
        <v/>
      </c>
      <c r="P81" s="83" t="str">
        <f t="shared" si="27"/>
        <v/>
      </c>
      <c r="Q81" s="86">
        <f t="shared" si="27"/>
        <v>1.0166666666666666</v>
      </c>
      <c r="R81" s="188"/>
      <c r="S81" s="48"/>
      <c r="T81" s="48"/>
      <c r="U81" s="48"/>
      <c r="V81" s="48"/>
      <c r="W81" s="48"/>
      <c r="X81" s="48"/>
      <c r="Y81" s="48"/>
      <c r="Z81" s="48"/>
      <c r="AA81" s="9"/>
      <c r="AB81" s="129"/>
      <c r="AC81" s="157" t="s">
        <v>100</v>
      </c>
      <c r="AD81" s="83" t="str">
        <f t="shared" ref="AD81:AI81" si="28">IF(ISNUMBER(AD79),SQRT(AD80/AD79),"")</f>
        <v/>
      </c>
      <c r="AE81" s="83" t="str">
        <f t="shared" si="28"/>
        <v/>
      </c>
      <c r="AF81" s="83" t="str">
        <f t="shared" si="28"/>
        <v/>
      </c>
      <c r="AG81" s="83" t="str">
        <f t="shared" si="28"/>
        <v/>
      </c>
      <c r="AH81" s="83" t="str">
        <f t="shared" si="28"/>
        <v/>
      </c>
      <c r="AI81" s="86" t="str">
        <f t="shared" si="28"/>
        <v/>
      </c>
      <c r="AJ81" s="48"/>
      <c r="AK81" s="192"/>
      <c r="AL81" s="193"/>
      <c r="AM81" s="194"/>
      <c r="AN81" s="194"/>
      <c r="AO81" s="194"/>
      <c r="AP81" s="194"/>
      <c r="AQ81" s="194"/>
      <c r="AR81" s="192"/>
    </row>
    <row r="82" spans="1:44" x14ac:dyDescent="0.15">
      <c r="A82" s="7"/>
      <c r="B82" s="7"/>
      <c r="C82" s="7"/>
      <c r="D82" s="7"/>
      <c r="E82" s="7"/>
      <c r="F82" s="7"/>
      <c r="G82" s="7"/>
      <c r="H82" s="7"/>
      <c r="I82" s="7"/>
      <c r="J82" s="197" t="s">
        <v>111</v>
      </c>
      <c r="K82" s="165"/>
      <c r="L82" s="198"/>
      <c r="M82" s="198"/>
      <c r="N82" s="198"/>
      <c r="O82" s="198"/>
      <c r="P82" s="198"/>
      <c r="Q82" s="199"/>
      <c r="R82" s="188"/>
      <c r="S82" s="189"/>
      <c r="T82" s="189"/>
      <c r="U82" s="189"/>
      <c r="V82" s="189"/>
      <c r="W82" s="189"/>
      <c r="X82" s="189"/>
      <c r="Y82" s="189"/>
      <c r="Z82" s="189"/>
      <c r="AA82" s="9"/>
      <c r="AB82" s="129"/>
      <c r="AC82" s="18" t="s">
        <v>102</v>
      </c>
      <c r="AD82" s="83" t="str">
        <f t="shared" ref="AD82:AI82" si="29">IF(ISNUMBER(AD61),(100*AD61^AD116-100)/(100*AD61-100),"")</f>
        <v/>
      </c>
      <c r="AE82" s="83" t="str">
        <f t="shared" si="29"/>
        <v/>
      </c>
      <c r="AF82" s="83" t="str">
        <f t="shared" si="29"/>
        <v/>
      </c>
      <c r="AG82" s="83" t="str">
        <f t="shared" si="29"/>
        <v/>
      </c>
      <c r="AH82" s="83" t="str">
        <f t="shared" si="29"/>
        <v/>
      </c>
      <c r="AI82" s="86" t="str">
        <f t="shared" si="29"/>
        <v/>
      </c>
      <c r="AJ82" s="189"/>
      <c r="AK82" s="192"/>
      <c r="AL82" s="193"/>
    </row>
    <row r="83" spans="1:44" x14ac:dyDescent="0.15">
      <c r="A83" s="7"/>
      <c r="B83" s="7"/>
      <c r="C83" s="7"/>
      <c r="D83" s="7"/>
      <c r="E83" s="200"/>
      <c r="F83" s="200"/>
      <c r="G83" s="200"/>
      <c r="H83" s="200"/>
      <c r="I83" s="7"/>
      <c r="J83" s="201"/>
      <c r="K83" s="138" t="s">
        <v>112</v>
      </c>
      <c r="L83" s="125">
        <f>IF(L71&gt;1,CORREL(D30:D45,E30:E45)*(1+(1-CORREL(D30:D45,E30:E45)^2)/2/(L48-3)),"")</f>
        <v>0.89336613244272889</v>
      </c>
      <c r="M83" s="125" t="str">
        <f>IF(M71&gt;1,CORREL(#REF!,#REF!)*(1+(1-CORREL(#REF!,#REF!)^2)/2/(M48-3)),"")</f>
        <v/>
      </c>
      <c r="N83" s="125" t="str">
        <f>IF(N71&gt;1,CORREL(#REF!,#REF!)*(1+(1-CORREL(#REF!,#REF!)^2)/2/(N48-3)),"")</f>
        <v/>
      </c>
      <c r="O83" s="125" t="str">
        <f>IF(O71&gt;1,CORREL(#REF!,#REF!)*(1+(1-CORREL(#REF!,#REF!)^2)/2/(O48-3)),"")</f>
        <v/>
      </c>
      <c r="P83" s="125" t="str">
        <f>IF(P71&gt;1,CORREL(#REF!,#REF!)*(1+(1-CORREL(#REF!,#REF!)^2)/2/(P48-3)),"")</f>
        <v/>
      </c>
      <c r="Q83" s="140">
        <f>FISHERINV(Q96)</f>
        <v>0.89336613244272889</v>
      </c>
      <c r="R83" s="202"/>
      <c r="S83" s="189"/>
      <c r="T83" s="189"/>
      <c r="U83" s="189"/>
      <c r="V83" s="189"/>
      <c r="W83" s="189"/>
      <c r="X83" s="189"/>
      <c r="Y83" s="189"/>
      <c r="Z83" s="189"/>
      <c r="AA83" s="9"/>
      <c r="AB83" s="129"/>
      <c r="AC83" s="124" t="s">
        <v>103</v>
      </c>
      <c r="AD83" s="181" t="str">
        <f t="shared" ref="AD83:AI88" si="30">IF(ISNUMBER(AD117),100*EXP(AD117/100)-100,"")</f>
        <v/>
      </c>
      <c r="AE83" s="181" t="str">
        <f t="shared" si="30"/>
        <v/>
      </c>
      <c r="AF83" s="181" t="str">
        <f t="shared" si="30"/>
        <v/>
      </c>
      <c r="AG83" s="181" t="str">
        <f t="shared" si="30"/>
        <v/>
      </c>
      <c r="AH83" s="181" t="str">
        <f t="shared" si="30"/>
        <v/>
      </c>
      <c r="AI83" s="181" t="str">
        <f t="shared" si="30"/>
        <v/>
      </c>
      <c r="AJ83" s="189"/>
    </row>
    <row r="84" spans="1:44" ht="14" x14ac:dyDescent="0.15">
      <c r="A84" s="7"/>
      <c r="B84" s="7"/>
      <c r="C84" s="7"/>
      <c r="D84" s="7"/>
      <c r="E84" s="7"/>
      <c r="F84" s="7"/>
      <c r="G84" s="7"/>
      <c r="H84" s="7"/>
      <c r="I84" s="7"/>
      <c r="J84" s="117"/>
      <c r="K84" s="13" t="s">
        <v>92</v>
      </c>
      <c r="L84" s="83">
        <f>IF(L71&gt;2,(EXP(2*(0.5*LN((1+L83)/(1-L83))-NORMINV(1-(1-$D$27/100)/2,0,1)/SQRT(COUNT(L30:L45)-3)))-1)/(EXP(2*(0.5*LN((1+L83)/(1-L83))-NORMINV(1-(1-$D$27/100)/2,0,1)/SQRT(COUNT(L30:L45)-3)))+1),"")</f>
        <v>0.7137363364666115</v>
      </c>
      <c r="M84" s="119" t="str">
        <f>IF(M71&gt;2,(EXP(2*(0.5*LN((1+M83)/(1-M83))-NORMINV(1-(1-$D$27/100)/2,0,1)/SQRT(COUNT(#REF!)-3)))-1)/(EXP(2*(0.5*LN((1+M83)/(1-M83))-NORMINV(1-(1-$D$27/100)/2,0,1)/SQRT(COUNT(#REF!)-3)))+1),"")</f>
        <v/>
      </c>
      <c r="N84" s="119" t="str">
        <f>IF(N71&gt;2,(EXP(2*(0.5*LN((1+N83)/(1-N83))-NORMINV(1-(1-$D$27/100)/2,0,1)/SQRT(COUNT(#REF!)-3)))-1)/(EXP(2*(0.5*LN((1+N83)/(1-N83))-NORMINV(1-(1-$D$27/100)/2,0,1)/SQRT(COUNT(#REF!)-3)))+1),"")</f>
        <v/>
      </c>
      <c r="O84" s="119" t="str">
        <f>IF(O71&gt;2,(EXP(2*(0.5*LN((1+O83)/(1-O83))-NORMINV(1-(1-$D$27/100)/2,0,1)/SQRT(COUNT(#REF!)-3)))-1)/(EXP(2*(0.5*LN((1+O83)/(1-O83))-NORMINV(1-(1-$D$27/100)/2,0,1)/SQRT(COUNT(#REF!)-3)))+1),"")</f>
        <v/>
      </c>
      <c r="P84" s="119" t="str">
        <f>IF(P71&gt;2,(EXP(2*(0.5*LN((1+P83)/(1-P83))-NORMINV(1-(1-$D$27/100)/2,0,1)/SQRT(COUNT(#REF!)-3)))-1)/(EXP(2*(0.5*LN((1+P83)/(1-P83))-NORMINV(1-(1-$D$27/100)/2,0,1)/SQRT(COUNT(#REF!)-3)))+1),"")</f>
        <v/>
      </c>
      <c r="Q84" s="180"/>
      <c r="R84" s="7"/>
      <c r="S84" s="203"/>
      <c r="T84" s="203"/>
      <c r="U84" s="64"/>
      <c r="V84" s="204"/>
      <c r="W84" s="205"/>
      <c r="X84" s="205"/>
      <c r="Y84" s="205"/>
      <c r="Z84" s="205"/>
      <c r="AA84" s="205"/>
      <c r="AB84" s="129"/>
      <c r="AC84" s="18" t="s">
        <v>92</v>
      </c>
      <c r="AD84" s="184" t="str">
        <f t="shared" si="30"/>
        <v/>
      </c>
      <c r="AE84" s="184" t="str">
        <f t="shared" si="30"/>
        <v/>
      </c>
      <c r="AF84" s="184" t="str">
        <f t="shared" si="30"/>
        <v/>
      </c>
      <c r="AG84" s="184" t="str">
        <f t="shared" si="30"/>
        <v/>
      </c>
      <c r="AH84" s="184" t="str">
        <f t="shared" si="30"/>
        <v/>
      </c>
      <c r="AI84" s="184" t="str">
        <f t="shared" si="30"/>
        <v/>
      </c>
      <c r="AJ84" s="206"/>
    </row>
    <row r="85" spans="1:44" ht="14" x14ac:dyDescent="0.15">
      <c r="A85" s="7"/>
      <c r="B85" s="7"/>
      <c r="C85" s="7"/>
      <c r="D85" s="7"/>
      <c r="E85" s="7"/>
      <c r="F85" s="7"/>
      <c r="G85" s="7"/>
      <c r="H85" s="7"/>
      <c r="I85" s="7"/>
      <c r="J85" s="117"/>
      <c r="K85" s="13" t="s">
        <v>95</v>
      </c>
      <c r="L85" s="83">
        <f>IF(L71&gt;2,(EXP(2*(0.5*LN((1+L83)/(1-L83))+NORMINV(1-(1-$D$27/100)/2,0,1)/SQRT(COUNT(L30:L45)-3)))-1)/(EXP(2*(0.5*LN((1+L83)/(1-L83))+NORMINV(1-(1-$D$27/100)/2,0,1)/SQRT(COUNT(L30:L45)-3)))+1),"")</f>
        <v>0.96272999481537835</v>
      </c>
      <c r="M85" s="128" t="str">
        <f>IF(M71&gt;2,(EXP(2*(0.5*LN((1+M83)/(1-M83))+NORMINV(1-(1-$D$27/100)/2,0,1)/SQRT(COUNT(#REF!)-3)))-1)/(EXP(2*(0.5*LN((1+M83)/(1-M83))+NORMINV(1-(1-$D$27/100)/2,0,1)/SQRT(COUNT(#REF!)-3)))+1),"")</f>
        <v/>
      </c>
      <c r="N85" s="128" t="str">
        <f>IF(N71&gt;2,(EXP(2*(0.5*LN((1+N83)/(1-N83))+NORMINV(1-(1-$D$27/100)/2,0,1)/SQRT(COUNT(#REF!)-3)))-1)/(EXP(2*(0.5*LN((1+N83)/(1-N83))+NORMINV(1-(1-$D$27/100)/2,0,1)/SQRT(COUNT(#REF!)-3)))+1),"")</f>
        <v/>
      </c>
      <c r="O85" s="128" t="str">
        <f>IF(O71&gt;2,(EXP(2*(0.5*LN((1+O83)/(1-O83))+NORMINV(1-(1-$D$27/100)/2,0,1)/SQRT(COUNT(#REF!)-3)))-1)/(EXP(2*(0.5*LN((1+O83)/(1-O83))+NORMINV(1-(1-$D$27/100)/2,0,1)/SQRT(COUNT(#REF!)-3)))+1),"")</f>
        <v/>
      </c>
      <c r="P85" s="128" t="str">
        <f>IF(P71&gt;2,(EXP(2*(0.5*LN((1+P83)/(1-P83))+NORMINV(1-(1-$D$27/100)/2,0,1)/SQRT(COUNT(#REF!)-3)))-1)/(EXP(2*(0.5*LN((1+P83)/(1-P83))+NORMINV(1-(1-$D$27/100)/2,0,1)/SQRT(COUNT(#REF!)-3)))+1),"")</f>
        <v/>
      </c>
      <c r="Q85" s="180"/>
      <c r="R85" s="7"/>
      <c r="S85" s="9"/>
      <c r="T85" s="9"/>
      <c r="U85" s="9"/>
      <c r="V85" s="9"/>
      <c r="W85" s="9"/>
      <c r="X85" s="9"/>
      <c r="Y85" s="9"/>
      <c r="Z85" s="9"/>
      <c r="AA85" s="9"/>
      <c r="AB85" s="129"/>
      <c r="AC85" s="18" t="s">
        <v>95</v>
      </c>
      <c r="AD85" s="186" t="str">
        <f t="shared" si="30"/>
        <v/>
      </c>
      <c r="AE85" s="186" t="str">
        <f t="shared" si="30"/>
        <v/>
      </c>
      <c r="AF85" s="186" t="str">
        <f t="shared" si="30"/>
        <v/>
      </c>
      <c r="AG85" s="186" t="str">
        <f t="shared" si="30"/>
        <v/>
      </c>
      <c r="AH85" s="186" t="str">
        <f t="shared" si="30"/>
        <v/>
      </c>
      <c r="AI85" s="186" t="str">
        <f t="shared" si="30"/>
        <v/>
      </c>
      <c r="AJ85" s="29"/>
    </row>
    <row r="86" spans="1:44" x14ac:dyDescent="0.15">
      <c r="J86" s="117"/>
      <c r="K86" s="13" t="s">
        <v>102</v>
      </c>
      <c r="L86" s="83">
        <f>IF(L71&gt;2,1+(1-CORREL(D30:D45,E30:E45)^2)/2/(L48-3),"")</f>
        <v>1.0082665474914314</v>
      </c>
      <c r="M86" s="83" t="str">
        <f>IF(M71&gt;2,1+(1-CORREL(#REF!,#REF!)^2)/2/(M48-3),"")</f>
        <v/>
      </c>
      <c r="N86" s="83" t="str">
        <f>IF(N71&gt;2,1+(1-CORREL(#REF!,#REF!)^2)/2/(N48-3),"")</f>
        <v/>
      </c>
      <c r="O86" s="83" t="str">
        <f>IF(O71&gt;2,1+(1-CORREL(#REF!,#REF!)^2)/2/(O48-3),"")</f>
        <v/>
      </c>
      <c r="P86" s="83" t="str">
        <f>IF(P71&gt;2,1+(1-CORREL(#REF!,#REF!)^2)/2/(P48-3),"")</f>
        <v/>
      </c>
      <c r="Q86" s="180"/>
      <c r="S86" s="9"/>
      <c r="T86" s="9"/>
      <c r="U86" s="9"/>
      <c r="V86" s="9"/>
      <c r="W86" s="9"/>
      <c r="X86" s="9"/>
      <c r="Y86" s="9"/>
      <c r="Z86" s="9"/>
      <c r="AA86" s="9"/>
      <c r="AB86" s="129"/>
      <c r="AC86" s="124" t="s">
        <v>105</v>
      </c>
      <c r="AD86" s="181" t="str">
        <f t="shared" si="30"/>
        <v/>
      </c>
      <c r="AE86" s="181" t="str">
        <f t="shared" si="30"/>
        <v/>
      </c>
      <c r="AF86" s="181" t="str">
        <f t="shared" si="30"/>
        <v/>
      </c>
      <c r="AG86" s="181" t="str">
        <f t="shared" si="30"/>
        <v/>
      </c>
      <c r="AH86" s="181" t="str">
        <f t="shared" si="30"/>
        <v/>
      </c>
      <c r="AI86" s="181" t="str">
        <f t="shared" si="30"/>
        <v/>
      </c>
      <c r="AJ86" s="207"/>
    </row>
    <row r="87" spans="1:44" x14ac:dyDescent="0.15">
      <c r="J87" s="117"/>
      <c r="K87" s="138" t="s">
        <v>113</v>
      </c>
      <c r="L87" s="139">
        <f>IF(L71,(1-L60^2/(SUMPRODUCT(D47:E47,D47:E47,D50:E50)/SUM(D50:E50)))*(1+(1-(1-L60^2/(SUMPRODUCT(D47:E47,D47:E47,D50:E50)/SUM(D50:E50)))^2)/(D48+E48-L48-3)),"")</f>
        <v>0.95149049901406602</v>
      </c>
      <c r="M87" s="125" t="str">
        <f>IF(M71,(1-M60^2/(SUMPRODUCT(E47:F47,E47:F47,E50:F50)/SUM(E50:F50)))*(1+(1-(1-M60^2/(SUMPRODUCT(E47:F47,E47:F47,E50:F50)/SUM(E50:F50)))^2)/(E48+F48-M48-3)),"")</f>
        <v/>
      </c>
      <c r="N87" s="125" t="str">
        <f>IF(N71,(1-N60^2/(SUMPRODUCT(F47:G47,F47:G47,F50:G50)/SUM(F50:G50)))*(1+(1-(1-N60^2/(SUMPRODUCT(F47:G47,F47:G47,F50:G50)/SUM(F50:G50)))^2)/(F48+G48-N48-3)),"")</f>
        <v/>
      </c>
      <c r="O87" s="125" t="str">
        <f>IF(O71,(1-O60^2/(SUMPRODUCT(G47:H47,G47:H47,G50:H50)/SUM(G50:H50)))*(1+(1-(1-O60^2/(SUMPRODUCT(G47:H47,G47:H47,G50:H50)/SUM(G50:H50)))^2)/(G48+H48-O48-3)),"")</f>
        <v/>
      </c>
      <c r="P87" s="125" t="str">
        <f>IF(P71,(1-P60^2/(SUMPRODUCT(H47:I47,H47:I47,H50:I50)/SUM(H50:I50)))*(1+(1-(1-P60^2/(SUMPRODUCT(H47:I47,H47:I47,H50:I50)/SUM(H50:I50)))^2)/(H48+I48-P48-3)),"")</f>
        <v/>
      </c>
      <c r="Q87" s="140" t="e">
        <f>(1-Q60^2/J47^2)*(1+(1-(1-Q60^2/J47^2)^2)/(R46-3))</f>
        <v>#REF!</v>
      </c>
      <c r="S87" s="9"/>
      <c r="T87" s="9"/>
      <c r="U87" s="9"/>
      <c r="V87" s="9"/>
      <c r="W87" s="9"/>
      <c r="X87" s="9"/>
      <c r="Y87" s="9"/>
      <c r="Z87" s="9"/>
      <c r="AA87" s="9"/>
      <c r="AB87" s="129"/>
      <c r="AC87" s="18" t="s">
        <v>92</v>
      </c>
      <c r="AD87" s="184" t="str">
        <f t="shared" si="30"/>
        <v/>
      </c>
      <c r="AE87" s="184" t="str">
        <f t="shared" si="30"/>
        <v/>
      </c>
      <c r="AF87" s="184" t="str">
        <f t="shared" si="30"/>
        <v/>
      </c>
      <c r="AG87" s="184" t="str">
        <f t="shared" si="30"/>
        <v/>
      </c>
      <c r="AH87" s="184" t="str">
        <f t="shared" si="30"/>
        <v/>
      </c>
      <c r="AI87" s="184" t="str">
        <f t="shared" si="30"/>
        <v/>
      </c>
      <c r="AJ87" s="64"/>
    </row>
    <row r="88" spans="1:44" x14ac:dyDescent="0.15">
      <c r="J88" s="117"/>
      <c r="K88" s="13" t="s">
        <v>92</v>
      </c>
      <c r="L88" s="118">
        <f t="shared" ref="L88:Q88" si="31">IF(L71,(L94-1)/(L94+L90-1),"")</f>
        <v>0.86716094116297249</v>
      </c>
      <c r="M88" s="119" t="str">
        <f t="shared" si="31"/>
        <v/>
      </c>
      <c r="N88" s="119" t="str">
        <f t="shared" si="31"/>
        <v/>
      </c>
      <c r="O88" s="119" t="str">
        <f t="shared" si="31"/>
        <v/>
      </c>
      <c r="P88" s="119" t="str">
        <f t="shared" si="31"/>
        <v/>
      </c>
      <c r="Q88" s="150" t="e">
        <f t="shared" si="31"/>
        <v>#REF!</v>
      </c>
      <c r="S88" s="9"/>
      <c r="T88" s="9"/>
      <c r="U88" s="9"/>
      <c r="V88" s="9"/>
      <c r="W88" s="9"/>
      <c r="X88" s="9"/>
      <c r="Y88" s="9"/>
      <c r="Z88" s="9"/>
      <c r="AA88" s="9"/>
      <c r="AB88" s="129"/>
      <c r="AC88" s="95" t="s">
        <v>95</v>
      </c>
      <c r="AD88" s="186" t="str">
        <f t="shared" si="30"/>
        <v/>
      </c>
      <c r="AE88" s="186" t="str">
        <f t="shared" si="30"/>
        <v/>
      </c>
      <c r="AF88" s="186" t="str">
        <f t="shared" si="30"/>
        <v/>
      </c>
      <c r="AG88" s="186" t="str">
        <f t="shared" si="30"/>
        <v/>
      </c>
      <c r="AH88" s="186" t="str">
        <f t="shared" si="30"/>
        <v/>
      </c>
      <c r="AI88" s="186" t="str">
        <f t="shared" si="30"/>
        <v/>
      </c>
      <c r="AJ88" s="64"/>
    </row>
    <row r="89" spans="1:44" x14ac:dyDescent="0.15">
      <c r="J89" s="196"/>
      <c r="K89" s="208" t="s">
        <v>95</v>
      </c>
      <c r="L89" s="209">
        <f t="shared" ref="L89:Q89" si="32">IF(L71,(L95-1)/(L95+L90-1),"")</f>
        <v>0.98277928935123871</v>
      </c>
      <c r="M89" s="210" t="str">
        <f t="shared" si="32"/>
        <v/>
      </c>
      <c r="N89" s="210" t="str">
        <f t="shared" si="32"/>
        <v/>
      </c>
      <c r="O89" s="210" t="str">
        <f t="shared" si="32"/>
        <v/>
      </c>
      <c r="P89" s="210" t="str">
        <f t="shared" si="32"/>
        <v/>
      </c>
      <c r="Q89" s="211" t="e">
        <f t="shared" si="32"/>
        <v>#REF!</v>
      </c>
      <c r="S89" s="9"/>
      <c r="T89" s="9"/>
      <c r="U89" s="9"/>
      <c r="V89" s="9"/>
      <c r="W89" s="9"/>
      <c r="X89" s="9"/>
      <c r="Y89" s="9"/>
      <c r="Z89" s="9"/>
      <c r="AA89" s="9"/>
      <c r="AB89" s="258" t="s">
        <v>107</v>
      </c>
      <c r="AC89" s="259"/>
      <c r="AD89" s="177"/>
      <c r="AE89" s="177"/>
      <c r="AF89" s="177"/>
      <c r="AG89" s="177"/>
      <c r="AH89" s="177"/>
      <c r="AI89" s="178"/>
      <c r="AJ89" s="207"/>
    </row>
    <row r="90" spans="1:44" x14ac:dyDescent="0.15">
      <c r="J90" s="63"/>
      <c r="K90" s="79" t="s">
        <v>114</v>
      </c>
      <c r="L90" s="212">
        <f>IF(L71,1+L71/(D48+E48-L48-1),"")</f>
        <v>2</v>
      </c>
      <c r="M90" s="212" t="str">
        <f>IF(M71,1+M71/(E48+F48-M48-1),"")</f>
        <v/>
      </c>
      <c r="N90" s="212" t="str">
        <f>IF(N71,1+N71/(F48+G48-N48-1),"")</f>
        <v/>
      </c>
      <c r="O90" s="212" t="str">
        <f>IF(O71,1+O71/(G48+H48-O48-1),"")</f>
        <v/>
      </c>
      <c r="P90" s="212" t="str">
        <f>IF(P71,1+P71/(H48+I48-P48-1),"")</f>
        <v/>
      </c>
      <c r="Q90" s="212" t="e">
        <f>IF(Q71,1+Q71/(R46-1),"")</f>
        <v>#REF!</v>
      </c>
      <c r="S90" s="9"/>
      <c r="T90" s="9"/>
      <c r="U90" s="9"/>
      <c r="V90" s="9"/>
      <c r="W90" s="9"/>
      <c r="X90" s="9"/>
      <c r="Y90" s="9"/>
      <c r="Z90" s="9"/>
      <c r="AA90" s="9"/>
      <c r="AB90" s="129"/>
      <c r="AC90" s="124" t="s">
        <v>89</v>
      </c>
      <c r="AD90" s="125" t="str">
        <f t="shared" ref="AD90:AH92" si="33">AD125</f>
        <v/>
      </c>
      <c r="AE90" s="125" t="str">
        <f t="shared" si="33"/>
        <v/>
      </c>
      <c r="AF90" s="125" t="str">
        <f t="shared" si="33"/>
        <v/>
      </c>
      <c r="AG90" s="125" t="str">
        <f t="shared" si="33"/>
        <v/>
      </c>
      <c r="AH90" s="125" t="str">
        <f t="shared" si="33"/>
        <v/>
      </c>
      <c r="AI90" s="213"/>
      <c r="AJ90" s="64"/>
    </row>
    <row r="91" spans="1:44" x14ac:dyDescent="0.15">
      <c r="J91" s="63"/>
      <c r="K91" s="79" t="s">
        <v>115</v>
      </c>
      <c r="L91" s="212">
        <f t="shared" ref="L91:Q91" si="34">IF(L71,1+L87*L90/(1-L87),"")</f>
        <v>40.229036773227747</v>
      </c>
      <c r="M91" s="212" t="str">
        <f t="shared" si="34"/>
        <v/>
      </c>
      <c r="N91" s="212" t="str">
        <f t="shared" si="34"/>
        <v/>
      </c>
      <c r="O91" s="212" t="str">
        <f t="shared" si="34"/>
        <v/>
      </c>
      <c r="P91" s="212" t="str">
        <f t="shared" si="34"/>
        <v/>
      </c>
      <c r="Q91" s="212" t="e">
        <f t="shared" si="34"/>
        <v>#REF!</v>
      </c>
      <c r="S91" s="9"/>
      <c r="T91" s="9"/>
      <c r="U91" s="9"/>
      <c r="V91" s="9"/>
      <c r="W91" s="9"/>
      <c r="X91" s="9"/>
      <c r="Y91" s="9"/>
      <c r="Z91" s="9"/>
      <c r="AA91" s="9"/>
      <c r="AB91" s="129"/>
      <c r="AC91" s="18" t="s">
        <v>92</v>
      </c>
      <c r="AD91" s="119" t="str">
        <f t="shared" si="33"/>
        <v/>
      </c>
      <c r="AE91" s="119" t="str">
        <f t="shared" si="33"/>
        <v/>
      </c>
      <c r="AF91" s="119" t="str">
        <f t="shared" si="33"/>
        <v/>
      </c>
      <c r="AG91" s="119" t="str">
        <f t="shared" si="33"/>
        <v/>
      </c>
      <c r="AH91" s="119" t="str">
        <f t="shared" si="33"/>
        <v/>
      </c>
      <c r="AI91" s="213"/>
      <c r="AJ91" s="64"/>
    </row>
    <row r="92" spans="1:44" x14ac:dyDescent="0.15">
      <c r="J92" s="63"/>
      <c r="K92" s="79" t="s">
        <v>116</v>
      </c>
      <c r="L92" s="47">
        <f>IF(L71,D48+E48-L48-1,"")</f>
        <v>15</v>
      </c>
      <c r="M92" s="47" t="str">
        <f>IF(M71,E48+F48-M48-1,"")</f>
        <v/>
      </c>
      <c r="N92" s="47" t="str">
        <f>IF(N71,F48+G48-N48-1,"")</f>
        <v/>
      </c>
      <c r="O92" s="47" t="str">
        <f>IF(O71,G48+H48-O48-1,"")</f>
        <v/>
      </c>
      <c r="P92" s="47" t="str">
        <f>IF(P71,H48+I48-P48-1,"")</f>
        <v/>
      </c>
      <c r="Q92" s="47" t="e">
        <f>IF(Q71,R46-1,"")</f>
        <v>#REF!</v>
      </c>
      <c r="S92" s="9"/>
      <c r="T92" s="9"/>
      <c r="U92" s="9"/>
      <c r="V92" s="9"/>
      <c r="W92" s="9"/>
      <c r="X92" s="9"/>
      <c r="Y92" s="9"/>
      <c r="Z92" s="9"/>
      <c r="AA92" s="9"/>
      <c r="AB92" s="129"/>
      <c r="AC92" s="18" t="s">
        <v>95</v>
      </c>
      <c r="AD92" s="133" t="str">
        <f t="shared" si="33"/>
        <v/>
      </c>
      <c r="AE92" s="133" t="str">
        <f t="shared" si="33"/>
        <v/>
      </c>
      <c r="AF92" s="133" t="str">
        <f t="shared" si="33"/>
        <v/>
      </c>
      <c r="AG92" s="133" t="str">
        <f t="shared" si="33"/>
        <v/>
      </c>
      <c r="AH92" s="133" t="str">
        <f t="shared" si="33"/>
        <v/>
      </c>
      <c r="AI92" s="213"/>
      <c r="AJ92" s="207"/>
    </row>
    <row r="93" spans="1:44" x14ac:dyDescent="0.15">
      <c r="J93" s="63"/>
      <c r="K93" s="79" t="s">
        <v>117</v>
      </c>
      <c r="L93" s="80">
        <f t="shared" ref="L93:Q93" si="35">L71</f>
        <v>15</v>
      </c>
      <c r="M93" s="80">
        <f t="shared" si="35"/>
        <v>0</v>
      </c>
      <c r="N93" s="80">
        <f t="shared" si="35"/>
        <v>0</v>
      </c>
      <c r="O93" s="80">
        <f t="shared" si="35"/>
        <v>0</v>
      </c>
      <c r="P93" s="80">
        <f t="shared" si="35"/>
        <v>0</v>
      </c>
      <c r="Q93" s="80">
        <f t="shared" si="35"/>
        <v>15</v>
      </c>
      <c r="S93" s="9"/>
      <c r="T93" s="9"/>
      <c r="U93" s="9"/>
      <c r="V93" s="9"/>
      <c r="W93" s="9"/>
      <c r="X93" s="9"/>
      <c r="Y93" s="9"/>
      <c r="Z93" s="9"/>
      <c r="AA93" s="9"/>
      <c r="AB93" s="129"/>
      <c r="AC93" s="18" t="s">
        <v>96</v>
      </c>
      <c r="AD93" s="83" t="str">
        <f>IF(ISNUMBER(AD90),(AD92-AD91)/2,"")</f>
        <v/>
      </c>
      <c r="AE93" s="83" t="str">
        <f>IF(ISNUMBER(AE90),(AE92-AE91)/2,"")</f>
        <v/>
      </c>
      <c r="AF93" s="83" t="str">
        <f>IF(ISNUMBER(AF90),(AF92-AF91)/2,"")</f>
        <v/>
      </c>
      <c r="AG93" s="83" t="str">
        <f>IF(ISNUMBER(AG90),(AG92-AG91)/2,"")</f>
        <v/>
      </c>
      <c r="AH93" s="83" t="str">
        <f>IF(ISNUMBER(AH90),(AH92-AH91)/2,"")</f>
        <v/>
      </c>
      <c r="AI93" s="187"/>
      <c r="AJ93" s="64"/>
    </row>
    <row r="94" spans="1:44" x14ac:dyDescent="0.15">
      <c r="J94" s="63"/>
      <c r="K94" s="79" t="s">
        <v>118</v>
      </c>
      <c r="L94" s="212">
        <f t="shared" ref="L94:Q94" si="36">IF(L71,L91/FINV((1-$D$27/100)/2,L92,L93),"")</f>
        <v>14.055812782095082</v>
      </c>
      <c r="M94" s="212" t="str">
        <f t="shared" si="36"/>
        <v/>
      </c>
      <c r="N94" s="212" t="str">
        <f t="shared" si="36"/>
        <v/>
      </c>
      <c r="O94" s="212" t="str">
        <f t="shared" si="36"/>
        <v/>
      </c>
      <c r="P94" s="212" t="str">
        <f t="shared" si="36"/>
        <v/>
      </c>
      <c r="Q94" s="212" t="e">
        <f t="shared" si="36"/>
        <v>#REF!</v>
      </c>
      <c r="S94" s="9"/>
      <c r="T94" s="9"/>
      <c r="U94" s="9"/>
      <c r="V94" s="9"/>
      <c r="W94" s="9"/>
      <c r="X94" s="9"/>
      <c r="Y94" s="9"/>
      <c r="Z94" s="9"/>
      <c r="AA94" s="9"/>
      <c r="AB94" s="129"/>
      <c r="AC94" s="124" t="s">
        <v>97</v>
      </c>
      <c r="AD94" s="125" t="str">
        <f t="shared" ref="AD94:AI96" si="37">AD128</f>
        <v/>
      </c>
      <c r="AE94" s="125" t="str">
        <f t="shared" si="37"/>
        <v/>
      </c>
      <c r="AF94" s="125" t="str">
        <f t="shared" si="37"/>
        <v/>
      </c>
      <c r="AG94" s="125" t="str">
        <f t="shared" si="37"/>
        <v/>
      </c>
      <c r="AH94" s="125" t="str">
        <f t="shared" si="37"/>
        <v/>
      </c>
      <c r="AI94" s="140" t="str">
        <f t="shared" si="37"/>
        <v/>
      </c>
      <c r="AJ94" s="64"/>
    </row>
    <row r="95" spans="1:44" x14ac:dyDescent="0.15">
      <c r="J95" s="214"/>
      <c r="K95" s="79" t="s">
        <v>119</v>
      </c>
      <c r="L95" s="215">
        <f t="shared" ref="L95:Q95" si="38">IF(L71,L91*FINV((1-$D$27/100)/2,L93,L92),"")</f>
        <v>115.13922565639669</v>
      </c>
      <c r="M95" s="212" t="str">
        <f t="shared" si="38"/>
        <v/>
      </c>
      <c r="N95" s="212" t="str">
        <f t="shared" si="38"/>
        <v/>
      </c>
      <c r="O95" s="212" t="str">
        <f t="shared" si="38"/>
        <v/>
      </c>
      <c r="P95" s="212" t="str">
        <f t="shared" si="38"/>
        <v/>
      </c>
      <c r="Q95" s="212" t="e">
        <f t="shared" si="38"/>
        <v>#REF!</v>
      </c>
      <c r="S95" s="9"/>
      <c r="T95" s="9"/>
      <c r="U95" s="9"/>
      <c r="V95" s="9"/>
      <c r="W95" s="9"/>
      <c r="X95" s="9"/>
      <c r="Y95" s="9"/>
      <c r="Z95" s="9"/>
      <c r="AA95" s="9"/>
      <c r="AB95" s="129"/>
      <c r="AC95" s="18" t="s">
        <v>92</v>
      </c>
      <c r="AD95" s="119" t="str">
        <f t="shared" si="37"/>
        <v/>
      </c>
      <c r="AE95" s="119" t="str">
        <f t="shared" si="37"/>
        <v/>
      </c>
      <c r="AF95" s="119" t="str">
        <f t="shared" si="37"/>
        <v/>
      </c>
      <c r="AG95" s="119" t="str">
        <f t="shared" si="37"/>
        <v/>
      </c>
      <c r="AH95" s="119" t="str">
        <f t="shared" si="37"/>
        <v/>
      </c>
      <c r="AI95" s="150" t="str">
        <f t="shared" si="37"/>
        <v/>
      </c>
      <c r="AJ95" s="64"/>
    </row>
    <row r="96" spans="1:44" x14ac:dyDescent="0.15">
      <c r="J96" s="8"/>
      <c r="K96" s="216" t="s">
        <v>120</v>
      </c>
      <c r="L96" s="217">
        <f>IF((L48&gt;3)*L71,FISHER(L83),"")</f>
        <v>1.4383551890902408</v>
      </c>
      <c r="M96" s="217" t="str">
        <f>IF((M48&gt;3)*M71,FISHER(M83),"")</f>
        <v/>
      </c>
      <c r="N96" s="217" t="str">
        <f>IF((N48&gt;3)*N71,FISHER(N83),"")</f>
        <v/>
      </c>
      <c r="O96" s="217" t="str">
        <f>IF((O48&gt;3)*O71,FISHER(O83),"")</f>
        <v/>
      </c>
      <c r="P96" s="217" t="str">
        <f>IF((P48&gt;3)*P71,FISHER(P83),"")</f>
        <v/>
      </c>
      <c r="Q96" s="217">
        <f>SUMPRODUCT(L96:P96,L97:P97)/SUM(L97:P97)</f>
        <v>1.4383551890902408</v>
      </c>
      <c r="S96" s="9"/>
      <c r="T96" s="9"/>
      <c r="U96" s="9"/>
      <c r="V96" s="9"/>
      <c r="W96" s="9"/>
      <c r="X96" s="9"/>
      <c r="Y96" s="9"/>
      <c r="Z96" s="9"/>
      <c r="AA96" s="9"/>
      <c r="AB96" s="129"/>
      <c r="AC96" s="18" t="s">
        <v>95</v>
      </c>
      <c r="AD96" s="133" t="str">
        <f t="shared" si="37"/>
        <v/>
      </c>
      <c r="AE96" s="133" t="str">
        <f t="shared" si="37"/>
        <v/>
      </c>
      <c r="AF96" s="133" t="str">
        <f t="shared" si="37"/>
        <v/>
      </c>
      <c r="AG96" s="133" t="str">
        <f t="shared" si="37"/>
        <v/>
      </c>
      <c r="AH96" s="133" t="str">
        <f t="shared" si="37"/>
        <v/>
      </c>
      <c r="AI96" s="155" t="str">
        <f t="shared" si="37"/>
        <v/>
      </c>
      <c r="AJ96" s="64"/>
    </row>
    <row r="97" spans="10:36" x14ac:dyDescent="0.15">
      <c r="J97" s="8"/>
      <c r="K97" s="218" t="s">
        <v>121</v>
      </c>
      <c r="L97" s="219">
        <f>IF((L48&gt;3)*L71,(L48-3),"")</f>
        <v>13</v>
      </c>
      <c r="M97" s="219" t="str">
        <f>IF((M48&gt;3)*M71,(M48-3),"")</f>
        <v/>
      </c>
      <c r="N97" s="219" t="str">
        <f>IF((N48&gt;3)*N71,(N48-3),"")</f>
        <v/>
      </c>
      <c r="O97" s="219" t="str">
        <f>IF((O48&gt;3)*O71,(O48-3),"")</f>
        <v/>
      </c>
      <c r="P97" s="219" t="str">
        <f>IF((P48&gt;3)*P71,(P48-3),"")</f>
        <v/>
      </c>
      <c r="Q97" s="219"/>
      <c r="S97" s="9"/>
      <c r="T97" s="9"/>
      <c r="U97" s="9"/>
      <c r="V97" s="9"/>
      <c r="W97" s="9"/>
      <c r="X97" s="9"/>
      <c r="Y97" s="9"/>
      <c r="Z97" s="9"/>
      <c r="AA97" s="9"/>
      <c r="AB97" s="129"/>
      <c r="AC97" s="157" t="s">
        <v>100</v>
      </c>
      <c r="AD97" s="83" t="str">
        <f t="shared" ref="AD97:AI97" si="39">IF(ISNUMBER(AD94),SQRT(AD96/AD95),"")</f>
        <v/>
      </c>
      <c r="AE97" s="83" t="str">
        <f t="shared" si="39"/>
        <v/>
      </c>
      <c r="AF97" s="83" t="str">
        <f t="shared" si="39"/>
        <v/>
      </c>
      <c r="AG97" s="83" t="str">
        <f t="shared" si="39"/>
        <v/>
      </c>
      <c r="AH97" s="83" t="str">
        <f t="shared" si="39"/>
        <v/>
      </c>
      <c r="AI97" s="86" t="str">
        <f t="shared" si="39"/>
        <v/>
      </c>
      <c r="AJ97" s="64"/>
    </row>
    <row r="98" spans="10:36" x14ac:dyDescent="0.15">
      <c r="J98" s="8"/>
      <c r="K98" s="79" t="s">
        <v>122</v>
      </c>
      <c r="L98" s="220">
        <f>IF(L$71*(L87&gt;0),(SUMPRODUCT(D$47:E$47,D$47:E$47,D$50:E$50)/SUM(D$50:E$50))-L60^2,"")</f>
        <v>81.754599852941169</v>
      </c>
      <c r="M98" s="220" t="str">
        <f>IF(M$71*(M87&gt;0),(SUMPRODUCT(E$47:F$47,E$47:F$47,E$50:F$50)/SUM(E$50:F$50))-M60^2,"")</f>
        <v/>
      </c>
      <c r="N98" s="220" t="str">
        <f>IF(N$71*(N87&gt;0),(SUMPRODUCT(F$47:G$47,F$47:G$47,F$50:G$50)/SUM(F$50:G$50))-N60^2,"")</f>
        <v/>
      </c>
      <c r="O98" s="220" t="str">
        <f>IF(O$71*(O87&gt;0),(SUMPRODUCT(G$47:H$47,G$47:H$47,G$50:H$50)/SUM(G$50:H$50))-O60^2,"")</f>
        <v/>
      </c>
      <c r="P98" s="220" t="str">
        <f>IF(P$71*(P87&gt;0),(SUMPRODUCT(H$47:I$47,H$47:I$47,H$50:I$50)/SUM(H$50:I$50))-P60^2,"")</f>
        <v/>
      </c>
      <c r="Q98" s="220" t="e">
        <f>IF(Q$71*(Q87&gt;0),J47^2-Q60^2,"")</f>
        <v>#REF!</v>
      </c>
      <c r="S98" s="9"/>
      <c r="T98" s="9"/>
      <c r="U98" s="9"/>
      <c r="V98" s="9"/>
      <c r="W98" s="9"/>
      <c r="X98" s="9"/>
      <c r="Y98" s="9"/>
      <c r="Z98" s="9"/>
      <c r="AA98" s="9"/>
      <c r="AB98" s="129"/>
      <c r="AC98" s="95" t="s">
        <v>102</v>
      </c>
      <c r="AD98" s="83" t="str">
        <f t="shared" ref="AD98:AI98" si="40">AD116</f>
        <v/>
      </c>
      <c r="AE98" s="83" t="str">
        <f t="shared" si="40"/>
        <v/>
      </c>
      <c r="AF98" s="83" t="str">
        <f t="shared" si="40"/>
        <v/>
      </c>
      <c r="AG98" s="83" t="str">
        <f t="shared" si="40"/>
        <v/>
      </c>
      <c r="AH98" s="83" t="str">
        <f t="shared" si="40"/>
        <v/>
      </c>
      <c r="AI98" s="86" t="str">
        <f t="shared" si="40"/>
        <v/>
      </c>
      <c r="AJ98" s="64"/>
    </row>
    <row r="99" spans="10:36" x14ac:dyDescent="0.15">
      <c r="J99" s="8"/>
      <c r="K99" s="79" t="s">
        <v>123</v>
      </c>
      <c r="L99" s="220">
        <f>IF(L$71*(L87&gt;0),SQRT(2*((SUMPRODUCT(D$47:E$47,D$47:E$47,D$50:E$50)/SUM(D$50:E$50))^2/L92-L60^4/L93)),"")</f>
        <v>31.588926709474752</v>
      </c>
      <c r="M99" s="220" t="str">
        <f>IF(M$71*(M87&gt;0),SQRT(2*((SUMPRODUCT(E$47:F$47,E$47:F$47,E$50:F$50)/SUM(E$50:F$50))^2/M92-M60^4/M93)),"")</f>
        <v/>
      </c>
      <c r="N99" s="220" t="str">
        <f>IF(N$71*(N87&gt;0),SQRT(2*((SUMPRODUCT(F$47:G$47,F$47:G$47,F$50:G$50)/SUM(F$50:G$50))^2/N92-N60^4/N93)),"")</f>
        <v/>
      </c>
      <c r="O99" s="220" t="str">
        <f>IF(O$71*(O87&gt;0),SQRT(2*((SUMPRODUCT(G$47:H$47,G$47:H$47,G$50:H$50)/SUM(G$50:H$50))^2/O92-O60^4/O93)),"")</f>
        <v/>
      </c>
      <c r="P99" s="220" t="str">
        <f>IF(P$71*(P87&gt;0),SQRT(2*((SUMPRODUCT(H$47:I$47,H$47:I$47,H$50:I$50)/SUM(H$50:I$50))^2/P92-P60^4/P93)),"")</f>
        <v/>
      </c>
      <c r="Q99" s="220" t="e">
        <f>IF(Q$71*(Q87&gt;0),SQRT(2*J47^4/Q92-Q60^4/Q93),"")</f>
        <v>#REF!</v>
      </c>
      <c r="S99" s="9"/>
      <c r="T99" s="9"/>
      <c r="U99" s="9"/>
      <c r="V99" s="9"/>
      <c r="W99" s="9"/>
      <c r="X99" s="9"/>
      <c r="Y99" s="9"/>
      <c r="Z99" s="9"/>
      <c r="AA99" s="9"/>
      <c r="AB99" s="221" t="s">
        <v>111</v>
      </c>
      <c r="AC99" s="222"/>
      <c r="AD99" s="223"/>
      <c r="AE99" s="223"/>
      <c r="AF99" s="223"/>
      <c r="AG99" s="223"/>
      <c r="AH99" s="223"/>
      <c r="AI99" s="224"/>
      <c r="AJ99" s="64"/>
    </row>
    <row r="100" spans="10:36" x14ac:dyDescent="0.15">
      <c r="J100" s="8"/>
      <c r="K100" s="79" t="s">
        <v>124</v>
      </c>
      <c r="L100" s="220">
        <f t="shared" ref="L100:Q100" si="41">IF(L$71*(L87&gt;0),L98+NORMSINV((100-$D$27)/100/2)*L99,"")</f>
        <v>19.841441192095303</v>
      </c>
      <c r="M100" s="220" t="str">
        <f t="shared" si="41"/>
        <v/>
      </c>
      <c r="N100" s="220" t="str">
        <f t="shared" si="41"/>
        <v/>
      </c>
      <c r="O100" s="220" t="str">
        <f t="shared" si="41"/>
        <v/>
      </c>
      <c r="P100" s="220" t="str">
        <f t="shared" si="41"/>
        <v/>
      </c>
      <c r="Q100" s="220" t="e">
        <f t="shared" si="41"/>
        <v>#REF!</v>
      </c>
      <c r="S100" s="9"/>
      <c r="T100" s="9"/>
      <c r="U100" s="9"/>
      <c r="V100" s="9"/>
      <c r="W100" s="9"/>
      <c r="X100" s="9"/>
      <c r="Y100" s="9"/>
      <c r="Z100" s="9"/>
      <c r="AA100" s="9"/>
      <c r="AB100" s="123"/>
      <c r="AC100" s="124" t="s">
        <v>112</v>
      </c>
      <c r="AD100" s="125" t="str">
        <f t="shared" ref="AD100:AH106" si="42">AD132</f>
        <v/>
      </c>
      <c r="AE100" s="125" t="str">
        <f t="shared" si="42"/>
        <v/>
      </c>
      <c r="AF100" s="125" t="str">
        <f t="shared" si="42"/>
        <v/>
      </c>
      <c r="AG100" s="125" t="str">
        <f t="shared" si="42"/>
        <v/>
      </c>
      <c r="AH100" s="125" t="str">
        <f t="shared" si="42"/>
        <v/>
      </c>
      <c r="AI100" s="140" t="str">
        <f>IF(ISNUMBER(AI$123),AI132,"")</f>
        <v/>
      </c>
      <c r="AJ100" s="64"/>
    </row>
    <row r="101" spans="10:36" x14ac:dyDescent="0.15">
      <c r="J101" s="8"/>
      <c r="K101" s="79" t="s">
        <v>125</v>
      </c>
      <c r="L101" s="220">
        <f t="shared" ref="L101:Q101" si="43">IF(L$71*(L87&gt;0),L98-NORMSINV((100-$D$27)/100/2)*L99,"")</f>
        <v>143.66775851378702</v>
      </c>
      <c r="M101" s="220" t="str">
        <f t="shared" si="43"/>
        <v/>
      </c>
      <c r="N101" s="220" t="str">
        <f t="shared" si="43"/>
        <v/>
      </c>
      <c r="O101" s="220" t="str">
        <f t="shared" si="43"/>
        <v/>
      </c>
      <c r="P101" s="220" t="str">
        <f t="shared" si="43"/>
        <v/>
      </c>
      <c r="Q101" s="220" t="e">
        <f t="shared" si="43"/>
        <v>#REF!</v>
      </c>
      <c r="S101" s="9"/>
      <c r="T101" s="9"/>
      <c r="U101" s="9"/>
      <c r="V101" s="9"/>
      <c r="W101" s="9"/>
      <c r="X101" s="9"/>
      <c r="Y101" s="9"/>
      <c r="Z101" s="9"/>
      <c r="AA101" s="9"/>
      <c r="AB101" s="129"/>
      <c r="AC101" s="18" t="s">
        <v>92</v>
      </c>
      <c r="AD101" s="119" t="str">
        <f t="shared" si="42"/>
        <v/>
      </c>
      <c r="AE101" s="119" t="str">
        <f t="shared" si="42"/>
        <v/>
      </c>
      <c r="AF101" s="119" t="str">
        <f t="shared" si="42"/>
        <v/>
      </c>
      <c r="AG101" s="119" t="str">
        <f t="shared" si="42"/>
        <v/>
      </c>
      <c r="AH101" s="119" t="str">
        <f t="shared" si="42"/>
        <v/>
      </c>
      <c r="AI101" s="213"/>
      <c r="AJ101" s="207"/>
    </row>
    <row r="102" spans="10:36" x14ac:dyDescent="0.15">
      <c r="S102" s="9"/>
      <c r="T102" s="9"/>
      <c r="U102" s="9"/>
      <c r="V102" s="9"/>
      <c r="W102" s="9"/>
      <c r="X102" s="9"/>
      <c r="Y102" s="9"/>
      <c r="Z102" s="9"/>
      <c r="AA102" s="9"/>
      <c r="AB102" s="129"/>
      <c r="AC102" s="18" t="s">
        <v>95</v>
      </c>
      <c r="AD102" s="133" t="str">
        <f t="shared" si="42"/>
        <v/>
      </c>
      <c r="AE102" s="133" t="str">
        <f t="shared" si="42"/>
        <v/>
      </c>
      <c r="AF102" s="133" t="str">
        <f t="shared" si="42"/>
        <v/>
      </c>
      <c r="AG102" s="133" t="str">
        <f t="shared" si="42"/>
        <v/>
      </c>
      <c r="AH102" s="133" t="str">
        <f t="shared" si="42"/>
        <v/>
      </c>
      <c r="AI102" s="213"/>
      <c r="AJ102" s="64"/>
    </row>
    <row r="103" spans="10:36" x14ac:dyDescent="0.15">
      <c r="S103" s="9"/>
      <c r="T103" s="9"/>
      <c r="U103" s="9"/>
      <c r="V103" s="9"/>
      <c r="W103" s="9"/>
      <c r="X103" s="9"/>
      <c r="Y103" s="9"/>
      <c r="Z103" s="9"/>
      <c r="AA103" s="9"/>
      <c r="AB103" s="129"/>
      <c r="AC103" s="18" t="s">
        <v>102</v>
      </c>
      <c r="AD103" s="83" t="str">
        <f t="shared" si="42"/>
        <v/>
      </c>
      <c r="AE103" s="83" t="str">
        <f t="shared" si="42"/>
        <v/>
      </c>
      <c r="AF103" s="83" t="str">
        <f t="shared" si="42"/>
        <v/>
      </c>
      <c r="AG103" s="83" t="str">
        <f t="shared" si="42"/>
        <v/>
      </c>
      <c r="AH103" s="83" t="str">
        <f t="shared" si="42"/>
        <v/>
      </c>
      <c r="AI103" s="213"/>
      <c r="AJ103" s="64"/>
    </row>
    <row r="104" spans="10:36" x14ac:dyDescent="0.15">
      <c r="S104" s="9"/>
      <c r="T104" s="9"/>
      <c r="U104" s="9"/>
      <c r="V104" s="9"/>
      <c r="W104" s="9"/>
      <c r="X104" s="9"/>
      <c r="Y104" s="9"/>
      <c r="Z104" s="9"/>
      <c r="AA104" s="9"/>
      <c r="AB104" s="129"/>
      <c r="AC104" s="124" t="s">
        <v>126</v>
      </c>
      <c r="AD104" s="125" t="str">
        <f t="shared" si="42"/>
        <v/>
      </c>
      <c r="AE104" s="125" t="str">
        <f t="shared" si="42"/>
        <v/>
      </c>
      <c r="AF104" s="125" t="str">
        <f t="shared" si="42"/>
        <v/>
      </c>
      <c r="AG104" s="125" t="str">
        <f t="shared" si="42"/>
        <v/>
      </c>
      <c r="AH104" s="125" t="str">
        <f t="shared" si="42"/>
        <v/>
      </c>
      <c r="AI104" s="140" t="str">
        <f>IF(ISERROR(AI136),"",AI136)</f>
        <v/>
      </c>
      <c r="AJ104" s="64"/>
    </row>
    <row r="105" spans="10:36" x14ac:dyDescent="0.15">
      <c r="S105" s="9"/>
      <c r="T105" s="9"/>
      <c r="U105" s="9"/>
      <c r="V105" s="9"/>
      <c r="W105" s="9"/>
      <c r="X105" s="9"/>
      <c r="Y105" s="9"/>
      <c r="Z105" s="9"/>
      <c r="AA105" s="9"/>
      <c r="AB105" s="129"/>
      <c r="AC105" s="18" t="s">
        <v>92</v>
      </c>
      <c r="AD105" s="119" t="str">
        <f t="shared" si="42"/>
        <v/>
      </c>
      <c r="AE105" s="119" t="str">
        <f t="shared" si="42"/>
        <v/>
      </c>
      <c r="AF105" s="119" t="str">
        <f t="shared" si="42"/>
        <v/>
      </c>
      <c r="AG105" s="119" t="str">
        <f t="shared" si="42"/>
        <v/>
      </c>
      <c r="AH105" s="119" t="str">
        <f t="shared" si="42"/>
        <v/>
      </c>
      <c r="AI105" s="150" t="str">
        <f>IF(ISERROR(AI137),"",AI137)</f>
        <v/>
      </c>
      <c r="AJ105" s="9"/>
    </row>
    <row r="106" spans="10:36" x14ac:dyDescent="0.15">
      <c r="S106" s="9"/>
      <c r="T106" s="9"/>
      <c r="U106" s="9"/>
      <c r="V106" s="9"/>
      <c r="W106" s="9"/>
      <c r="X106" s="9"/>
      <c r="Y106" s="9"/>
      <c r="Z106" s="9"/>
      <c r="AA106" s="9"/>
      <c r="AB106" s="225"/>
      <c r="AC106" s="95" t="s">
        <v>95</v>
      </c>
      <c r="AD106" s="210" t="str">
        <f t="shared" si="42"/>
        <v/>
      </c>
      <c r="AE106" s="210" t="str">
        <f t="shared" si="42"/>
        <v/>
      </c>
      <c r="AF106" s="210" t="str">
        <f t="shared" si="42"/>
        <v/>
      </c>
      <c r="AG106" s="210" t="str">
        <f t="shared" si="42"/>
        <v/>
      </c>
      <c r="AH106" s="210" t="str">
        <f t="shared" si="42"/>
        <v/>
      </c>
      <c r="AI106" s="211" t="str">
        <f>IF(ISERROR(AI138),"",AI138)</f>
        <v/>
      </c>
      <c r="AJ106" s="9"/>
    </row>
    <row r="107" spans="10:36" x14ac:dyDescent="0.15">
      <c r="S107" s="9"/>
      <c r="T107" s="9"/>
      <c r="U107" s="9"/>
      <c r="V107" s="9"/>
      <c r="W107" s="9"/>
      <c r="X107" s="9"/>
      <c r="Y107" s="9"/>
      <c r="Z107" s="9"/>
      <c r="AA107" s="9"/>
      <c r="AB107" s="9"/>
      <c r="AC107" s="9"/>
      <c r="AD107" s="9"/>
      <c r="AE107" s="9"/>
      <c r="AF107" s="9"/>
      <c r="AG107" s="9"/>
      <c r="AH107" s="9"/>
      <c r="AI107" s="9"/>
      <c r="AJ107" s="9"/>
    </row>
    <row r="108" spans="10:36" ht="14" x14ac:dyDescent="0.15">
      <c r="S108" s="9"/>
      <c r="T108" s="9"/>
      <c r="U108" s="9"/>
      <c r="V108" s="9"/>
      <c r="W108" s="9"/>
      <c r="X108" s="9"/>
      <c r="Y108" s="9"/>
      <c r="Z108" s="9"/>
      <c r="AA108" s="9"/>
      <c r="AB108" s="226" t="s">
        <v>127</v>
      </c>
      <c r="AC108" s="227"/>
      <c r="AD108" s="227"/>
      <c r="AE108" s="227"/>
      <c r="AF108" s="227"/>
      <c r="AG108" s="227"/>
      <c r="AH108" s="227"/>
      <c r="AI108" s="228"/>
      <c r="AJ108" s="9"/>
    </row>
    <row r="109" spans="10:36" ht="14" x14ac:dyDescent="0.15">
      <c r="S109" s="9"/>
      <c r="T109" s="9"/>
      <c r="U109" s="9"/>
      <c r="V109" s="9"/>
      <c r="W109" s="9"/>
      <c r="X109" s="9"/>
      <c r="Y109" s="9"/>
      <c r="Z109" s="9"/>
      <c r="AA109" s="9"/>
      <c r="AB109" s="33"/>
      <c r="AC109" s="33"/>
      <c r="AD109" s="229" t="str">
        <f>L29</f>
        <v>2-1</v>
      </c>
      <c r="AE109" s="229" t="str">
        <f>M29</f>
        <v>3-2</v>
      </c>
      <c r="AF109" s="229" t="str">
        <f>N29</f>
        <v>4-3</v>
      </c>
      <c r="AG109" s="229" t="str">
        <f>O29</f>
        <v>5-4</v>
      </c>
      <c r="AH109" s="229" t="str">
        <f>P29</f>
        <v>6-5</v>
      </c>
      <c r="AI109" s="43" t="s">
        <v>51</v>
      </c>
      <c r="AJ109" s="9"/>
    </row>
    <row r="110" spans="10:36" x14ac:dyDescent="0.15">
      <c r="S110" s="9"/>
      <c r="T110" s="9"/>
      <c r="U110" s="9"/>
      <c r="V110" s="9"/>
      <c r="W110" s="9"/>
      <c r="X110" s="9"/>
      <c r="Y110" s="9"/>
      <c r="Z110" s="9"/>
      <c r="AA110" s="9"/>
      <c r="AB110" s="230"/>
      <c r="AC110" s="231" t="s">
        <v>89</v>
      </c>
      <c r="AD110" s="232" t="str">
        <f>IF(AD123,AD46,"")</f>
        <v/>
      </c>
      <c r="AE110" s="232" t="str">
        <f>IF(AE123,AE46,"")</f>
        <v/>
      </c>
      <c r="AF110" s="232" t="str">
        <f>IF(AF123,AF46,"")</f>
        <v/>
      </c>
      <c r="AG110" s="232" t="str">
        <f>IF(AG123,AG46,"")</f>
        <v/>
      </c>
      <c r="AH110" s="232" t="str">
        <f>IF(AH123,AH46,"")</f>
        <v/>
      </c>
      <c r="AI110" s="232"/>
      <c r="AJ110" s="9"/>
    </row>
    <row r="111" spans="10:36" x14ac:dyDescent="0.15">
      <c r="AB111" s="65"/>
      <c r="AC111" s="56" t="s">
        <v>92</v>
      </c>
      <c r="AD111" s="233" t="str">
        <f>IF(AD123,AD110-TINV(1-$D$27/100,AD123)*AD47/SQRT(AD48),"")</f>
        <v/>
      </c>
      <c r="AE111" s="233" t="str">
        <f>IF(AE123,AE110-TINV(1-$D$27/100,AE123)*AE47/SQRT(AE48),"")</f>
        <v/>
      </c>
      <c r="AF111" s="233" t="str">
        <f>IF(AF123,AF110-TINV(1-$D$27/100,AF123)*AF47/SQRT(AF48),"")</f>
        <v/>
      </c>
      <c r="AG111" s="233" t="str">
        <f>IF(AG123,AG110-TINV(1-$D$27/100,AG123)*AG47/SQRT(AG48),"")</f>
        <v/>
      </c>
      <c r="AH111" s="233" t="str">
        <f>IF(AH123,AH110-TINV(1-$D$27/100,AH123)*AH47/SQRT(AH48),"")</f>
        <v/>
      </c>
      <c r="AI111" s="58"/>
    </row>
    <row r="112" spans="10:36" x14ac:dyDescent="0.15">
      <c r="AB112" s="65"/>
      <c r="AC112" s="56" t="s">
        <v>95</v>
      </c>
      <c r="AD112" s="234" t="str">
        <f>IF(AD123,AD110+TINV(1-$D$27/100,AD123)*AD47/SQRT(AD48),"")</f>
        <v/>
      </c>
      <c r="AE112" s="234" t="str">
        <f>IF(AE123,AE110+TINV(1-$D$27/100,AE123)*AE47/SQRT(AE48),"")</f>
        <v/>
      </c>
      <c r="AF112" s="234" t="str">
        <f>IF(AF123,AF110+TINV(1-$D$27/100,AF123)*AF47/SQRT(AF48),"")</f>
        <v/>
      </c>
      <c r="AG112" s="234" t="str">
        <f>IF(AG123,AG110+TINV(1-$D$27/100,AG123)*AG47/SQRT(AG48),"")</f>
        <v/>
      </c>
      <c r="AH112" s="234" t="str">
        <f>IF(AH123,AH110+TINV(1-$D$27/100,AH123)*AH47/SQRT(AH48),"")</f>
        <v/>
      </c>
      <c r="AI112" s="58"/>
    </row>
    <row r="113" spans="28:35" x14ac:dyDescent="0.15">
      <c r="AB113" s="230"/>
      <c r="AC113" s="231" t="s">
        <v>97</v>
      </c>
      <c r="AD113" s="232" t="str">
        <f>IF(AD123,STDEV(#REF!)/SQRT(2),"")</f>
        <v/>
      </c>
      <c r="AE113" s="232" t="str">
        <f>IF(AE123,STDEV(#REF!)/SQRT(2),"")</f>
        <v/>
      </c>
      <c r="AF113" s="232" t="str">
        <f>IF(AF123,STDEV(#REF!)/SQRT(2),"")</f>
        <v/>
      </c>
      <c r="AG113" s="232" t="str">
        <f>IF(AG123,STDEV(#REF!)/SQRT(2),"")</f>
        <v/>
      </c>
      <c r="AH113" s="232" t="str">
        <f>IF(AH123,STDEV(#REF!)/SQRT(2),"")</f>
        <v/>
      </c>
      <c r="AI113" s="232" t="e">
        <f>IF(AI123,SQRT(SUMPRODUCT(AD113:AH113,AD113:AH113,AD123:AH123)/SUM(AD123:AH123)),"")</f>
        <v>#REF!</v>
      </c>
    </row>
    <row r="114" spans="28:35" x14ac:dyDescent="0.15">
      <c r="AB114" s="65"/>
      <c r="AC114" s="56" t="s">
        <v>92</v>
      </c>
      <c r="AD114" s="233" t="str">
        <f>IF(AD123,SQRT(AD123*AD113^2/CHIINV((1-$D$27/100)/2,AD123)),"")</f>
        <v/>
      </c>
      <c r="AE114" s="233" t="str">
        <f>IF(AE123,SQRT(AE123*AE113^2/CHIINV((1-$D$27/100)/2,AE123)),"")</f>
        <v/>
      </c>
      <c r="AF114" s="233" t="str">
        <f>IF(AF123,SQRT(AF123*AF113^2/CHIINV((1-$D$27/100)/2,AF123)),"")</f>
        <v/>
      </c>
      <c r="AG114" s="233" t="str">
        <f>IF(AG123,SQRT(AG123*AG113^2/CHIINV((1-$D$27/100)/2,AG123)),"")</f>
        <v/>
      </c>
      <c r="AH114" s="233" t="str">
        <f>IF(AH123,SQRT(AH123*AH113^2/CHIINV((1-$D$27/100)/2,AH123)),"")</f>
        <v/>
      </c>
      <c r="AI114" s="233" t="e">
        <f>SQRT(AI123*AI113^2/CHIINV((1-$D$27/100)/2,AI123))</f>
        <v>#REF!</v>
      </c>
    </row>
    <row r="115" spans="28:35" x14ac:dyDescent="0.15">
      <c r="AB115" s="65"/>
      <c r="AC115" s="56" t="s">
        <v>95</v>
      </c>
      <c r="AD115" s="234" t="str">
        <f>IF(AD123,SQRT(AD123*AD113^2/CHIINV(1-(1-$D$27/100)/2,AD123)),"")</f>
        <v/>
      </c>
      <c r="AE115" s="234" t="str">
        <f>IF(AE123,SQRT(AE123*AE113^2/CHIINV(1-(1-$D$27/100)/2,AE123)),"")</f>
        <v/>
      </c>
      <c r="AF115" s="234" t="str">
        <f>IF(AF123,SQRT(AF123*AF113^2/CHIINV(1-(1-$D$27/100)/2,AF123)),"")</f>
        <v/>
      </c>
      <c r="AG115" s="234" t="str">
        <f>IF(AG123,SQRT(AG123*AG113^2/CHIINV(1-(1-$D$27/100)/2,AG123)),"")</f>
        <v/>
      </c>
      <c r="AH115" s="234" t="str">
        <f>IF(AH123,SQRT(AH123*AH113^2/CHIINV(1-(1-$D$27/100)/2,AH123)),"")</f>
        <v/>
      </c>
      <c r="AI115" s="234" t="e">
        <f>SQRT(AI123*AI113^2/CHIINV(1-(1-$D$27/100)/2,AI123))</f>
        <v>#REF!</v>
      </c>
    </row>
    <row r="116" spans="28:35" x14ac:dyDescent="0.15">
      <c r="AB116" s="9"/>
      <c r="AC116" s="56" t="s">
        <v>102</v>
      </c>
      <c r="AD116" s="57" t="str">
        <f>IF(AD123,1+1/(4*AD123),"")</f>
        <v/>
      </c>
      <c r="AE116" s="57" t="str">
        <f>IF(AE123,1+1/(4*AE123),"")</f>
        <v/>
      </c>
      <c r="AF116" s="57" t="str">
        <f>IF(AF123,1+1/(4*AF123),"")</f>
        <v/>
      </c>
      <c r="AG116" s="57" t="str">
        <f>IF(AG123,1+1/(4*AG123),"")</f>
        <v/>
      </c>
      <c r="AH116" s="57" t="str">
        <f>IF(AH123,1+1/(4*AH123),"")</f>
        <v/>
      </c>
      <c r="AI116" s="57" t="str">
        <f>IF(ISNUMBER(AI123),1+1/(4*AI123),"")</f>
        <v/>
      </c>
    </row>
    <row r="117" spans="28:35" x14ac:dyDescent="0.15">
      <c r="AB117" s="9"/>
      <c r="AC117" s="231" t="s">
        <v>128</v>
      </c>
      <c r="AD117" s="58" t="str">
        <f t="shared" ref="AD117:AI117" si="44">IF(AD$123*(AD136&gt;0),$D$26*SQRT(AD147),"")</f>
        <v/>
      </c>
      <c r="AE117" s="58" t="str">
        <f t="shared" si="44"/>
        <v/>
      </c>
      <c r="AF117" s="58" t="str">
        <f t="shared" si="44"/>
        <v/>
      </c>
      <c r="AG117" s="58" t="str">
        <f t="shared" si="44"/>
        <v/>
      </c>
      <c r="AH117" s="58" t="str">
        <f t="shared" si="44"/>
        <v/>
      </c>
      <c r="AI117" s="58" t="e">
        <f t="shared" si="44"/>
        <v>#REF!</v>
      </c>
    </row>
    <row r="118" spans="28:35" x14ac:dyDescent="0.15">
      <c r="AB118" s="9"/>
      <c r="AC118" s="56" t="s">
        <v>92</v>
      </c>
      <c r="AD118" s="233" t="str">
        <f>IF(AD$123*(AD136&gt;0),0.2*(IF(AD149&gt;0,SQRT(AD149),-SQRT(-AD149))),"")</f>
        <v/>
      </c>
      <c r="AE118" s="233" t="str">
        <f>IF(AE$123*(AE136&gt;0),0.2*(IF(AE149&gt;0,SQRT(AE149),-SQRT(-AE149))),"")</f>
        <v/>
      </c>
      <c r="AF118" s="233" t="str">
        <f>IF(AF$123*(AF136&gt;0),0.2*(IF(AF149&gt;0,SQRT(AF149),-SQRT(-AF149))),"")</f>
        <v/>
      </c>
      <c r="AG118" s="233" t="str">
        <f>IF(AG$123*(AG136&gt;0),0.2*(IF(AG149&gt;0,SQRT(AG149),-SQRT(-AG149))),"")</f>
        <v/>
      </c>
      <c r="AH118" s="233" t="str">
        <f>IF(AH$123*(AH136&gt;0),0.2*(IF(AH149&gt;0,SQRT(AH149),-SQRT(-AH149))),"")</f>
        <v/>
      </c>
      <c r="AI118" s="233" t="e">
        <f>IF(AI$123*(AI136&gt;0),0.2*IF(AI149&gt;0,SQRT(AI149),-SQRT(-AI149)),"")</f>
        <v>#REF!</v>
      </c>
    </row>
    <row r="119" spans="28:35" x14ac:dyDescent="0.15">
      <c r="AB119" s="9"/>
      <c r="AC119" s="56" t="s">
        <v>95</v>
      </c>
      <c r="AD119" s="235" t="str">
        <f t="shared" ref="AD119:AI119" si="45">IF(AD$123*(AD136&gt;0),0.2*SQRT(AD150),"")</f>
        <v/>
      </c>
      <c r="AE119" s="235" t="str">
        <f t="shared" si="45"/>
        <v/>
      </c>
      <c r="AF119" s="235" t="str">
        <f t="shared" si="45"/>
        <v/>
      </c>
      <c r="AG119" s="235" t="str">
        <f t="shared" si="45"/>
        <v/>
      </c>
      <c r="AH119" s="235" t="str">
        <f t="shared" si="45"/>
        <v/>
      </c>
      <c r="AI119" s="235" t="e">
        <f t="shared" si="45"/>
        <v>#REF!</v>
      </c>
    </row>
    <row r="120" spans="28:35" x14ac:dyDescent="0.15">
      <c r="AB120" s="9"/>
      <c r="AC120" s="231" t="s">
        <v>129</v>
      </c>
      <c r="AD120" s="58" t="str">
        <f>IF(AD$123,$D$26*SQRT(SUMPRODUCT(V$47:W$47,V$47:W$47,V$50:W$50)/SUM(V$50:W$50)),"")</f>
        <v/>
      </c>
      <c r="AE120" s="58" t="str">
        <f>IF(AE$123,$D$26*SQRT(SUMPRODUCT(W$47:X$47,W$47:X$47,W$50:X$50)/SUM(W$50:X$50)),"")</f>
        <v/>
      </c>
      <c r="AF120" s="58" t="str">
        <f>IF(AF$123,$D$26*SQRT(SUMPRODUCT(X$47:Y$47,X$47:Y$47,X$50:Y$50)/SUM(X$50:Y$50)),"")</f>
        <v/>
      </c>
      <c r="AG120" s="58" t="str">
        <f>IF(AG$123,$D$26*SQRT(SUMPRODUCT(Y$47:Z$47,Y$47:Z$47,Y$50:Z$50)/SUM(Y$50:Z$50)),"")</f>
        <v/>
      </c>
      <c r="AH120" s="58" t="str">
        <f>IF(AH$123,$D$26*SQRT(SUMPRODUCT(Z$47:AA$47,Z$47:AA$47,Z$50:AA$50)/SUM(Z$50:AA$50)),"")</f>
        <v/>
      </c>
      <c r="AI120" s="58" t="e">
        <f>$D$26*AB47</f>
        <v>#DIV/0!</v>
      </c>
    </row>
    <row r="121" spans="28:35" x14ac:dyDescent="0.15">
      <c r="AB121" s="9"/>
      <c r="AC121" s="56" t="s">
        <v>92</v>
      </c>
      <c r="AD121" s="233" t="str">
        <f t="shared" ref="AD121:AI121" si="46">IF(AD123,SQRT(AD141*AD120^2/CHIINV((1-$D$27/100)/2,AD141)),"")</f>
        <v/>
      </c>
      <c r="AE121" s="233" t="str">
        <f t="shared" si="46"/>
        <v/>
      </c>
      <c r="AF121" s="233" t="str">
        <f t="shared" si="46"/>
        <v/>
      </c>
      <c r="AG121" s="233" t="str">
        <f t="shared" si="46"/>
        <v/>
      </c>
      <c r="AH121" s="233" t="str">
        <f t="shared" si="46"/>
        <v/>
      </c>
      <c r="AI121" s="233" t="e">
        <f t="shared" si="46"/>
        <v>#REF!</v>
      </c>
    </row>
    <row r="122" spans="28:35" x14ac:dyDescent="0.15">
      <c r="AB122" s="9"/>
      <c r="AC122" s="56" t="s">
        <v>95</v>
      </c>
      <c r="AD122" s="235" t="str">
        <f t="shared" ref="AD122:AI122" si="47">IF(AD123,SQRT(AD141*AD120^2/CHIINV(1-(1-$D$27/100)/2,AD141)),"")</f>
        <v/>
      </c>
      <c r="AE122" s="235" t="str">
        <f t="shared" si="47"/>
        <v/>
      </c>
      <c r="AF122" s="235" t="str">
        <f t="shared" si="47"/>
        <v/>
      </c>
      <c r="AG122" s="235" t="str">
        <f t="shared" si="47"/>
        <v/>
      </c>
      <c r="AH122" s="235" t="str">
        <f t="shared" si="47"/>
        <v/>
      </c>
      <c r="AI122" s="235" t="e">
        <f t="shared" si="47"/>
        <v>#REF!</v>
      </c>
    </row>
    <row r="123" spans="28:35" x14ac:dyDescent="0.15">
      <c r="AB123" s="230"/>
      <c r="AC123" s="170" t="s">
        <v>75</v>
      </c>
      <c r="AD123" s="71">
        <f>IF(AND(V48&gt;0,W48&gt;0,ISNUMBER(V46),ISNUMBER(W46)),AD48-1,0)</f>
        <v>0</v>
      </c>
      <c r="AE123" s="71">
        <f>IF(AND(W48&gt;0,X48&gt;0,ISNUMBER(W46),ISNUMBER(X46)),AE48-1,0)</f>
        <v>0</v>
      </c>
      <c r="AF123" s="71">
        <f>IF(AND(X48&gt;0,Y48&gt;0,ISNUMBER(X46),ISNUMBER(Y46)),AF48-1,0)</f>
        <v>0</v>
      </c>
      <c r="AG123" s="71">
        <f>IF(AND(Y48&gt;0,Z48&gt;0,ISNUMBER(Y46),ISNUMBER(Z46)),AG48-1,0)</f>
        <v>0</v>
      </c>
      <c r="AH123" s="71">
        <f>IF(AND(Z48&gt;0,AA48&gt;0,ISNUMBER(Z46),ISNUMBER(AA46)),AH48-1,0)</f>
        <v>0</v>
      </c>
      <c r="AI123" s="71" t="e">
        <f>IF(COUNTIF(AD123:AH123,"&gt;0")=1,SUM(AD123:AH123),(1-0.22*SUM(V48:AA48)/(COUNTIF(V48:AA48,"&gt;0")*AJ46))*SUM(AD72:AH72))</f>
        <v>#REF!</v>
      </c>
    </row>
    <row r="124" spans="28:35" x14ac:dyDescent="0.15">
      <c r="AB124" s="65"/>
      <c r="AC124" s="170"/>
      <c r="AD124" s="57"/>
      <c r="AE124" s="57"/>
      <c r="AF124" s="57"/>
      <c r="AG124" s="57"/>
      <c r="AH124" s="57"/>
      <c r="AI124" s="236"/>
    </row>
    <row r="125" spans="28:35" x14ac:dyDescent="0.15">
      <c r="AB125" s="65"/>
      <c r="AC125" s="231" t="s">
        <v>130</v>
      </c>
      <c r="AD125" s="57" t="str">
        <f>IF(AD$123*(AD136&gt;0),AD110/SQRT((SUMPRODUCT(V$47:W$47,V$47:W$47,V$50:W$50)/SUM(V$50:W$50))-AD113^2),"")</f>
        <v/>
      </c>
      <c r="AE125" s="57" t="str">
        <f>IF(AE$123*(AE136&gt;0),AE110/SQRT((SUMPRODUCT(W$47:X$47,W$47:X$47,W$50:X$50)/SUM(W$50:X$50))-AE113^2),"")</f>
        <v/>
      </c>
      <c r="AF125" s="57" t="str">
        <f>IF(AF$123*(AF136&gt;0),AF110/SQRT((SUMPRODUCT(X$47:Y$47,X$47:Y$47,X$50:Y$50)/SUM(X$50:Y$50))-AF113^2),"")</f>
        <v/>
      </c>
      <c r="AG125" s="57" t="str">
        <f>IF(AG$123*(AG136&gt;0),AG110/SQRT((SUMPRODUCT(Y$47:Z$47,Y$47:Z$47,Y$50:Z$50)/SUM(Y$50:Z$50))-AG113^2),"")</f>
        <v/>
      </c>
      <c r="AH125" s="57" t="str">
        <f>IF(AH$123*(AH136&gt;0),AH110/SQRT((SUMPRODUCT(Z$47:AA$47,Z$47:AA$47,Z$50:AA$50)/SUM(Z$50:AA$50))-AH113^2),"")</f>
        <v/>
      </c>
      <c r="AI125" s="236"/>
    </row>
    <row r="126" spans="28:35" x14ac:dyDescent="0.15">
      <c r="AB126" s="65"/>
      <c r="AC126" s="56" t="s">
        <v>92</v>
      </c>
      <c r="AD126" s="237" t="str">
        <f>IF(AD$123*(AD136&gt;0),AD111/SQRT((SUMPRODUCT(V$47:W$47,V$47:W$47,V$50:W$50)/SUM(V$50:W$50))-AD113^2),"")</f>
        <v/>
      </c>
      <c r="AE126" s="237" t="str">
        <f>IF(AE$123*(AE136&gt;0),AE111/SQRT((SUMPRODUCT(W$47:X$47,W$47:X$47,W$50:X$50)/SUM(W$50:X$50))-AE113^2),"")</f>
        <v/>
      </c>
      <c r="AF126" s="237" t="str">
        <f>IF(AF$123*(AF136&gt;0),AF111/SQRT((SUMPRODUCT(X$47:Y$47,X$47:Y$47,X$50:Y$50)/SUM(X$50:Y$50))-AF113^2),"")</f>
        <v/>
      </c>
      <c r="AG126" s="237" t="str">
        <f>IF(AG$123*(AG136&gt;0),AG111/SQRT((SUMPRODUCT(Y$47:Z$47,Y$47:Z$47,Y$50:Z$50)/SUM(Y$50:Z$50))-AG113^2),"")</f>
        <v/>
      </c>
      <c r="AH126" s="237" t="str">
        <f>IF(AH$123*(AH136&gt;0),AH111/SQRT((SUMPRODUCT(Z$47:AA$47,Z$47:AA$47,Z$50:AA$50)/SUM(Z$50:AA$50))-AH113^2),"")</f>
        <v/>
      </c>
      <c r="AI126" s="236"/>
    </row>
    <row r="127" spans="28:35" x14ac:dyDescent="0.15">
      <c r="AB127" s="65"/>
      <c r="AC127" s="56" t="s">
        <v>95</v>
      </c>
      <c r="AD127" s="170" t="str">
        <f>IF(AD$123*(AD136&gt;0),AD112/SQRT((SUMPRODUCT(V$47:W$47,V$47:W$47,V$50:W$50)/SUM(V$50:W$50))-AD113^2),"")</f>
        <v/>
      </c>
      <c r="AE127" s="170" t="str">
        <f>IF(AE$123*(AE136&gt;0),AE112/SQRT((SUMPRODUCT(W$47:X$47,W$47:X$47,W$50:X$50)/SUM(W$50:X$50))-AE113^2),"")</f>
        <v/>
      </c>
      <c r="AF127" s="170" t="str">
        <f>IF(AF$123*(AF136&gt;0),AF112/SQRT((SUMPRODUCT(X$47:Y$47,X$47:Y$47,X$50:Y$50)/SUM(X$50:Y$50))-AF113^2),"")</f>
        <v/>
      </c>
      <c r="AG127" s="170" t="str">
        <f>IF(AG$123*(AG136&gt;0),AG112/SQRT((SUMPRODUCT(Y$47:Z$47,Y$47:Z$47,Y$50:Z$50)/SUM(Y$50:Z$50))-AG113^2),"")</f>
        <v/>
      </c>
      <c r="AH127" s="170" t="str">
        <f>IF(AH$123*(AH136&gt;0),AH112/SQRT((SUMPRODUCT(Z$47:AA$47,Z$47:AA$47,Z$50:AA$50)/SUM(Z$50:AA$50))-AH113^2),"")</f>
        <v/>
      </c>
      <c r="AI127" s="236"/>
    </row>
    <row r="128" spans="28:35" x14ac:dyDescent="0.15">
      <c r="AB128" s="65"/>
      <c r="AC128" s="231" t="s">
        <v>131</v>
      </c>
      <c r="AD128" s="57" t="str">
        <f>IF(AD$123*(AD136&gt;0),AD113/SQRT((SUMPRODUCT(V$47:W$47,V$47:W$47,V$50:W$50)/SUM(V$50:W$50))-AD113^2),"")</f>
        <v/>
      </c>
      <c r="AE128" s="57" t="str">
        <f>IF(AE$123*(AE136&gt;0),AE113/SQRT((SUMPRODUCT(W$47:X$47,W$47:X$47,W$50:X$50)/SUM(W$50:X$50))-AE113^2),"")</f>
        <v/>
      </c>
      <c r="AF128" s="57" t="str">
        <f>IF(AF$123*(AF136&gt;0),AF113/SQRT((SUMPRODUCT(X$47:Y$47,X$47:Y$47,X$50:Y$50)/SUM(X$50:Y$50))-AF113^2),"")</f>
        <v/>
      </c>
      <c r="AG128" s="57" t="str">
        <f>IF(AG$123*(AG136&gt;0),AG113/SQRT((SUMPRODUCT(Y$47:Z$47,Y$47:Z$47,Y$50:Z$50)/SUM(Y$50:Z$50))-AG113^2),"")</f>
        <v/>
      </c>
      <c r="AH128" s="57" t="str">
        <f>IF(AH$123*(AH136&gt;0),AH113/SQRT((SUMPRODUCT(Z$47:AA$47,Z$47:AA$47,Z$50:AA$50)/SUM(Z$50:AA$50))-AH113^2),"")</f>
        <v/>
      </c>
      <c r="AI128" s="57" t="str">
        <f>IF(ISNUMBER(AI$123),AI113/SQRT(AB$47^2),"")</f>
        <v/>
      </c>
    </row>
    <row r="129" spans="28:35" x14ac:dyDescent="0.15">
      <c r="AB129" s="65"/>
      <c r="AC129" s="56" t="s">
        <v>92</v>
      </c>
      <c r="AD129" s="237" t="str">
        <f>IF(AD$123*(AD136&gt;0),AD114/SQRT((SUMPRODUCT(V$47:W$47,V$47:W$47,V$50:W$50)/SUM(V$50:W$50))-AD113^2),"")</f>
        <v/>
      </c>
      <c r="AE129" s="237" t="str">
        <f>IF(AE$123*(AE136&gt;0),AE114/SQRT((SUMPRODUCT(W$47:X$47,W$47:X$47,W$50:X$50)/SUM(W$50:X$50))-AE113^2),"")</f>
        <v/>
      </c>
      <c r="AF129" s="237" t="str">
        <f>IF(AF$123*(AF136&gt;0),AF114/SQRT((SUMPRODUCT(X$47:Y$47,X$47:Y$47,X$50:Y$50)/SUM(X$50:Y$50))-AF113^2),"")</f>
        <v/>
      </c>
      <c r="AG129" s="237" t="str">
        <f>IF(AG$123*(AG136&gt;0),AG114/SQRT((SUMPRODUCT(Y$47:Z$47,Y$47:Z$47,Y$50:Z$50)/SUM(Y$50:Z$50))-AG113^2),"")</f>
        <v/>
      </c>
      <c r="AH129" s="237" t="str">
        <f>IF(AH$123*(AH136&gt;0),AH114/SQRT((SUMPRODUCT(Z$47:AA$47,Z$47:AA$47,Z$50:AA$50)/SUM(Z$50:AA$50))-AH113^2),"")</f>
        <v/>
      </c>
      <c r="AI129" s="237" t="str">
        <f>IF(ISNUMBER(AI$123),AI114/SQRT(AB$47^2),"")</f>
        <v/>
      </c>
    </row>
    <row r="130" spans="28:35" x14ac:dyDescent="0.15">
      <c r="AB130" s="65"/>
      <c r="AC130" s="56" t="s">
        <v>95</v>
      </c>
      <c r="AD130" s="170" t="str">
        <f>IF(AD$123*(AD136&gt;0),AD115/SQRT((SUMPRODUCT(V$47:W$47,V$47:W$47,V$50:W$50)/SUM(V$50:W$50))-AD113^2),"")</f>
        <v/>
      </c>
      <c r="AE130" s="170" t="str">
        <f>IF(AE$123*(AE136&gt;0),AE115/SQRT((SUMPRODUCT(W$47:X$47,W$47:X$47,W$50:X$50)/SUM(W$50:X$50))-AE113^2),"")</f>
        <v/>
      </c>
      <c r="AF130" s="170" t="str">
        <f>IF(AF$123*(AF136&gt;0),AF115/SQRT((SUMPRODUCT(X$47:Y$47,X$47:Y$47,X$50:Y$50)/SUM(X$50:Y$50))-AF113^2),"")</f>
        <v/>
      </c>
      <c r="AG130" s="170" t="str">
        <f>IF(AG$123*(AG136&gt;0),AG115/SQRT((SUMPRODUCT(Y$47:Z$47,Y$47:Z$47,Y$50:Z$50)/SUM(Y$50:Z$50))-AG113^2),"")</f>
        <v/>
      </c>
      <c r="AH130" s="170" t="str">
        <f>IF(AH$123*(AH136&gt;0),AH115/SQRT((SUMPRODUCT(Z$47:AA$47,Z$47:AA$47,Z$50:AA$50)/SUM(Z$50:AA$50))-AH113^2),"")</f>
        <v/>
      </c>
      <c r="AI130" s="170" t="str">
        <f>IF(ISNUMBER(AI$123),AI115/SQRT(AB$47^2),"")</f>
        <v/>
      </c>
    </row>
    <row r="131" spans="28:35" x14ac:dyDescent="0.15">
      <c r="AB131" s="65"/>
      <c r="AC131" s="65"/>
      <c r="AD131" s="65"/>
      <c r="AE131" s="65"/>
      <c r="AF131" s="65"/>
      <c r="AG131" s="65"/>
      <c r="AH131" s="65"/>
      <c r="AI131" s="65"/>
    </row>
    <row r="132" spans="28:35" x14ac:dyDescent="0.15">
      <c r="AB132" s="230"/>
      <c r="AC132" s="231" t="s">
        <v>132</v>
      </c>
      <c r="AD132" s="238" t="str">
        <f>IF(AD123&gt;1,CORREL(#REF!,#REF!)*(1+(1-CORREL(#REF!,#REF!)^2)/2/(L48-3)),"")</f>
        <v/>
      </c>
      <c r="AE132" s="238" t="str">
        <f>IF(AE123&gt;1,CORREL(#REF!,#REF!)*(1+(1-CORREL(#REF!,#REF!)^2)/2/(M48-3)),"")</f>
        <v/>
      </c>
      <c r="AF132" s="238" t="str">
        <f>IF(AF123&gt;1,CORREL(#REF!,#REF!)*(1+(1-CORREL(#REF!,#REF!)^2)/2/(N48-3)),"")</f>
        <v/>
      </c>
      <c r="AG132" s="238" t="str">
        <f>IF(AG123&gt;1,CORREL(#REF!,#REF!)*(1+(1-CORREL(#REF!,#REF!)^2)/2/(O48-3)),"")</f>
        <v/>
      </c>
      <c r="AH132" s="238" t="str">
        <f>IF(AH123&gt;1,CORREL(#REF!,#REF!)*(1+(1-CORREL(#REF!,#REF!)^2)/2/(P48-3)),"")</f>
        <v/>
      </c>
      <c r="AI132" s="238" t="e">
        <f>FISHERINV(AI145)</f>
        <v>#DIV/0!</v>
      </c>
    </row>
    <row r="133" spans="28:35" x14ac:dyDescent="0.15">
      <c r="AB133" s="65"/>
      <c r="AC133" s="56" t="s">
        <v>92</v>
      </c>
      <c r="AD133" s="237" t="str">
        <f>IF(AD123&gt;2,(EXP(2*(0.5*LN((1+AD132)/(1-AD132))-NORMINV(1-(1-$D$27/100)/2,0,1)/SQRT(COUNT(#REF!)-3)))-1)/(EXP(2*(0.5*LN((1+AD132)/(1-AD132))-NORMINV(1-(1-$D$27/100)/2,0,1)/SQRT(COUNT(#REF!)-3)))+1),"")</f>
        <v/>
      </c>
      <c r="AE133" s="237" t="str">
        <f>IF(AE123&gt;2,(EXP(2*(0.5*LN((1+AE132)/(1-AE132))-NORMINV(1-(1-$D$27/100)/2,0,1)/SQRT(COUNT(#REF!)-3)))-1)/(EXP(2*(0.5*LN((1+AE132)/(1-AE132))-NORMINV(1-(1-$D$27/100)/2,0,1)/SQRT(COUNT(#REF!)-3)))+1),"")</f>
        <v/>
      </c>
      <c r="AF133" s="237" t="str">
        <f>IF(AF123&gt;2,(EXP(2*(0.5*LN((1+AF132)/(1-AF132))-NORMINV(1-(1-$D$27/100)/2,0,1)/SQRT(COUNT(#REF!)-3)))-1)/(EXP(2*(0.5*LN((1+AF132)/(1-AF132))-NORMINV(1-(1-$D$27/100)/2,0,1)/SQRT(COUNT(#REF!)-3)))+1),"")</f>
        <v/>
      </c>
      <c r="AG133" s="237" t="str">
        <f>IF(AG123&gt;2,(EXP(2*(0.5*LN((1+AG132)/(1-AG132))-NORMINV(1-(1-$D$27/100)/2,0,1)/SQRT(COUNT(#REF!)-3)))-1)/(EXP(2*(0.5*LN((1+AG132)/(1-AG132))-NORMINV(1-(1-$D$27/100)/2,0,1)/SQRT(COUNT(#REF!)-3)))+1),"")</f>
        <v/>
      </c>
      <c r="AH133" s="237" t="str">
        <f>IF(AH123&gt;2,(EXP(2*(0.5*LN((1+AH132)/(1-AH132))-NORMINV(1-(1-$D$27/100)/2,0,1)/SQRT(COUNT(#REF!)-3)))-1)/(EXP(2*(0.5*LN((1+AH132)/(1-AH132))-NORMINV(1-(1-$D$27/100)/2,0,1)/SQRT(COUNT(#REF!)-3)))+1),"")</f>
        <v/>
      </c>
      <c r="AI133" s="170"/>
    </row>
    <row r="134" spans="28:35" x14ac:dyDescent="0.15">
      <c r="AB134" s="65"/>
      <c r="AC134" s="56" t="s">
        <v>95</v>
      </c>
      <c r="AD134" s="236" t="str">
        <f>IF(AD123&gt;2,(EXP(2*(0.5*LN((1+AD132)/(1-AD132))+NORMINV(1-(1-$D$27/100)/2,0,1)/SQRT(COUNT(#REF!)-3)))-1)/(EXP(2*(0.5*LN((1+AD132)/(1-AD132))+NORMINV(1-(1-$D$27/100)/2,0,1)/SQRT(COUNT(#REF!)-3)))+1),"")</f>
        <v/>
      </c>
      <c r="AE134" s="236" t="str">
        <f>IF(AE123&gt;2,(EXP(2*(0.5*LN((1+AE132)/(1-AE132))+NORMINV(1-(1-$D$27/100)/2,0,1)/SQRT(COUNT(#REF!)-3)))-1)/(EXP(2*(0.5*LN((1+AE132)/(1-AE132))+NORMINV(1-(1-$D$27/100)/2,0,1)/SQRT(COUNT(#REF!)-3)))+1),"")</f>
        <v/>
      </c>
      <c r="AF134" s="236" t="str">
        <f>IF(AF123&gt;2,(EXP(2*(0.5*LN((1+AF132)/(1-AF132))+NORMINV(1-(1-$D$27/100)/2,0,1)/SQRT(COUNT(#REF!)-3)))-1)/(EXP(2*(0.5*LN((1+AF132)/(1-AF132))+NORMINV(1-(1-$D$27/100)/2,0,1)/SQRT(COUNT(#REF!)-3)))+1),"")</f>
        <v/>
      </c>
      <c r="AG134" s="236" t="str">
        <f>IF(AG123&gt;2,(EXP(2*(0.5*LN((1+AG132)/(1-AG132))+NORMINV(1-(1-$D$27/100)/2,0,1)/SQRT(COUNT(#REF!)-3)))-1)/(EXP(2*(0.5*LN((1+AG132)/(1-AG132))+NORMINV(1-(1-$D$27/100)/2,0,1)/SQRT(COUNT(#REF!)-3)))+1),"")</f>
        <v/>
      </c>
      <c r="AH134" s="236" t="str">
        <f>IF(AH123&gt;2,(EXP(2*(0.5*LN((1+AH132)/(1-AH132))+NORMINV(1-(1-$D$27/100)/2,0,1)/SQRT(COUNT(#REF!)-3)))-1)/(EXP(2*(0.5*LN((1+AH132)/(1-AH132))+NORMINV(1-(1-$D$27/100)/2,0,1)/SQRT(COUNT(#REF!)-3)))+1),"")</f>
        <v/>
      </c>
      <c r="AI134" s="170"/>
    </row>
    <row r="135" spans="28:35" x14ac:dyDescent="0.15">
      <c r="AB135" s="65"/>
      <c r="AC135" s="56" t="s">
        <v>102</v>
      </c>
      <c r="AD135" s="57" t="str">
        <f>IF(AD123&gt;2,1+(1-CORREL(#REF!,#REF!)^2)/2/(L48-3),"")</f>
        <v/>
      </c>
      <c r="AE135" s="57" t="str">
        <f>IF(AE123&gt;2,1+(1-CORREL(#REF!,#REF!)^2)/2/(M48-3),"")</f>
        <v/>
      </c>
      <c r="AF135" s="57" t="str">
        <f>IF(AF123&gt;2,1+(1-CORREL(#REF!,#REF!)^2)/2/(N48-3),"")</f>
        <v/>
      </c>
      <c r="AG135" s="57" t="str">
        <f>IF(AG123&gt;2,1+(1-CORREL(#REF!,#REF!)^2)/2/(O48-3),"")</f>
        <v/>
      </c>
      <c r="AH135" s="57" t="str">
        <f>IF(AH123&gt;2,1+(1-CORREL(#REF!,#REF!)^2)/2/(P48-3),"")</f>
        <v/>
      </c>
      <c r="AI135" s="170"/>
    </row>
    <row r="136" spans="28:35" x14ac:dyDescent="0.15">
      <c r="AB136" s="65"/>
      <c r="AC136" s="231" t="s">
        <v>133</v>
      </c>
      <c r="AD136" s="238" t="str">
        <f>IF(AD123,(1-AD113^2/(SUMPRODUCT(V47:W47,V47:W47,V50:W50)/SUM(V50:W50)))*(1+(1-(1-AD113^2/(SUMPRODUCT(V47:W47,V47:W47,V50:W50)/SUM(V50:W50)))^2)/(V48+W48-AD48-3)),"")</f>
        <v/>
      </c>
      <c r="AE136" s="238" t="str">
        <f>IF(AE123,(1-AE113^2/(SUMPRODUCT(W47:X47,W47:X47,W50:X50)/SUM(W50:X50)))*(1+(1-(1-AE113^2/(SUMPRODUCT(W47:X47,W47:X47,W50:X50)/SUM(W50:X50)))^2)/(W48+X48-AE48-3)),"")</f>
        <v/>
      </c>
      <c r="AF136" s="238" t="str">
        <f>IF(AF123,(1-AF113^2/(SUMPRODUCT(X47:Y47,X47:Y47,X50:Y50)/SUM(X50:Y50)))*(1+(1-(1-AF113^2/(SUMPRODUCT(X47:Y47,X47:Y47,X50:Y50)/SUM(X50:Y50)))^2)/(X48+Y48-AF48-3)),"")</f>
        <v/>
      </c>
      <c r="AG136" s="238" t="str">
        <f>IF(AG123,(1-AG113^2/(SUMPRODUCT(Y47:Z47,Y47:Z47,Y50:Z50)/SUM(Y50:Z50)))*(1+(1-(1-AG113^2/(SUMPRODUCT(Y47:Z47,Y47:Z47,Y50:Z50)/SUM(Y50:Z50)))^2)/(Y48+Z48-AG48-3)),"")</f>
        <v/>
      </c>
      <c r="AH136" s="238" t="str">
        <f>IF(AH123,(1-AH113^2/(SUMPRODUCT(Z47:AA47,Z47:AA47,Z50:AA50)/SUM(Z50:AA50)))*(1+(1-(1-AH113^2/(SUMPRODUCT(Z47:AA47,Z47:AA47,Z50:AA50)/SUM(Z50:AA50)))^2)/(Z48+AA48-AH48-3)),"")</f>
        <v/>
      </c>
      <c r="AI136" s="57" t="e">
        <f>(1-AI113^2/AB47^2)*(1+(1-(1-AI113^2/AB47^2)^2)/(AJ46-3))</f>
        <v>#REF!</v>
      </c>
    </row>
    <row r="137" spans="28:35" x14ac:dyDescent="0.15">
      <c r="AB137" s="65"/>
      <c r="AC137" s="56" t="s">
        <v>92</v>
      </c>
      <c r="AD137" s="237" t="str">
        <f t="shared" ref="AD137:AI137" si="48">IF(AD123,(AD143-1)/(AD143+AD139-1),"")</f>
        <v/>
      </c>
      <c r="AE137" s="237" t="str">
        <f t="shared" si="48"/>
        <v/>
      </c>
      <c r="AF137" s="237" t="str">
        <f t="shared" si="48"/>
        <v/>
      </c>
      <c r="AG137" s="237" t="str">
        <f t="shared" si="48"/>
        <v/>
      </c>
      <c r="AH137" s="237" t="str">
        <f t="shared" si="48"/>
        <v/>
      </c>
      <c r="AI137" s="237" t="e">
        <f t="shared" si="48"/>
        <v>#REF!</v>
      </c>
    </row>
    <row r="138" spans="28:35" x14ac:dyDescent="0.15">
      <c r="AB138" s="65"/>
      <c r="AC138" s="56" t="s">
        <v>95</v>
      </c>
      <c r="AD138" s="170" t="str">
        <f t="shared" ref="AD138:AI138" si="49">IF(AD123,(AD144-1)/(AD144+AD139-1),"")</f>
        <v/>
      </c>
      <c r="AE138" s="170" t="str">
        <f t="shared" si="49"/>
        <v/>
      </c>
      <c r="AF138" s="170" t="str">
        <f t="shared" si="49"/>
        <v/>
      </c>
      <c r="AG138" s="170" t="str">
        <f t="shared" si="49"/>
        <v/>
      </c>
      <c r="AH138" s="170" t="str">
        <f t="shared" si="49"/>
        <v/>
      </c>
      <c r="AI138" s="170" t="e">
        <f t="shared" si="49"/>
        <v>#REF!</v>
      </c>
    </row>
    <row r="139" spans="28:35" x14ac:dyDescent="0.15">
      <c r="AB139" s="65"/>
      <c r="AC139" s="56" t="s">
        <v>114</v>
      </c>
      <c r="AD139" s="58" t="str">
        <f>IF(AD123,1+AD123/(V48+W48-AD48-1),"")</f>
        <v/>
      </c>
      <c r="AE139" s="58" t="str">
        <f>IF(AE123,1+AE123/(W48+X48-AE48-1),"")</f>
        <v/>
      </c>
      <c r="AF139" s="58" t="str">
        <f>IF(AF123,1+AF123/(X48+Y48-AF48-1),"")</f>
        <v/>
      </c>
      <c r="AG139" s="58" t="str">
        <f>IF(AG123,1+AG123/(Y48+Z48-AG48-1),"")</f>
        <v/>
      </c>
      <c r="AH139" s="58" t="str">
        <f>IF(AH123,1+AH123/(Z48+AA48-AH48-1),"")</f>
        <v/>
      </c>
      <c r="AI139" s="58" t="e">
        <f>IF(AI123,1+AI123/(AJ46-1),"")</f>
        <v>#REF!</v>
      </c>
    </row>
    <row r="140" spans="28:35" x14ac:dyDescent="0.15">
      <c r="AB140" s="65"/>
      <c r="AC140" s="56" t="s">
        <v>115</v>
      </c>
      <c r="AD140" s="58" t="str">
        <f t="shared" ref="AD140:AI140" si="50">IF(AD123,1+AD136*AD139/(1-AD136),"")</f>
        <v/>
      </c>
      <c r="AE140" s="58" t="str">
        <f t="shared" si="50"/>
        <v/>
      </c>
      <c r="AF140" s="58" t="str">
        <f t="shared" si="50"/>
        <v/>
      </c>
      <c r="AG140" s="58" t="str">
        <f t="shared" si="50"/>
        <v/>
      </c>
      <c r="AH140" s="58" t="str">
        <f t="shared" si="50"/>
        <v/>
      </c>
      <c r="AI140" s="58" t="e">
        <f t="shared" si="50"/>
        <v>#REF!</v>
      </c>
    </row>
    <row r="141" spans="28:35" x14ac:dyDescent="0.15">
      <c r="AB141" s="65"/>
      <c r="AC141" s="56" t="s">
        <v>116</v>
      </c>
      <c r="AD141" s="71">
        <f>AD123</f>
        <v>0</v>
      </c>
      <c r="AE141" s="43" t="str">
        <f>IF(AE123,W48+X48-AE48-1,"")</f>
        <v/>
      </c>
      <c r="AF141" s="43" t="str">
        <f>IF(AF123,X48+Y48-AF48-1,"")</f>
        <v/>
      </c>
      <c r="AG141" s="43" t="str">
        <f>IF(AG123,Y48+Z48-AG48-1,"")</f>
        <v/>
      </c>
      <c r="AH141" s="43" t="str">
        <f>IF(AH123,Z48+AA48-AH48-1,"")</f>
        <v/>
      </c>
      <c r="AI141" s="43" t="e">
        <f>IF(AI123,AJ46-1,"")</f>
        <v>#REF!</v>
      </c>
    </row>
    <row r="142" spans="28:35" x14ac:dyDescent="0.15">
      <c r="AB142" s="65"/>
      <c r="AC142" s="56" t="s">
        <v>117</v>
      </c>
      <c r="AD142" s="71">
        <f t="shared" ref="AD142:AI142" si="51">AD123</f>
        <v>0</v>
      </c>
      <c r="AE142" s="71">
        <f t="shared" si="51"/>
        <v>0</v>
      </c>
      <c r="AF142" s="71">
        <f t="shared" si="51"/>
        <v>0</v>
      </c>
      <c r="AG142" s="71">
        <f t="shared" si="51"/>
        <v>0</v>
      </c>
      <c r="AH142" s="71">
        <f t="shared" si="51"/>
        <v>0</v>
      </c>
      <c r="AI142" s="71" t="e">
        <f t="shared" si="51"/>
        <v>#REF!</v>
      </c>
    </row>
    <row r="143" spans="28:35" x14ac:dyDescent="0.15">
      <c r="AB143" s="65"/>
      <c r="AC143" s="56" t="s">
        <v>118</v>
      </c>
      <c r="AD143" s="58" t="str">
        <f t="shared" ref="AD143:AI143" si="52">IF(AD123,AD140/FINV((1-$D$27/100)/2,AD141,AD142),"")</f>
        <v/>
      </c>
      <c r="AE143" s="58" t="str">
        <f t="shared" si="52"/>
        <v/>
      </c>
      <c r="AF143" s="58" t="str">
        <f t="shared" si="52"/>
        <v/>
      </c>
      <c r="AG143" s="58" t="str">
        <f t="shared" si="52"/>
        <v/>
      </c>
      <c r="AH143" s="58" t="str">
        <f t="shared" si="52"/>
        <v/>
      </c>
      <c r="AI143" s="58" t="e">
        <f t="shared" si="52"/>
        <v>#REF!</v>
      </c>
    </row>
    <row r="144" spans="28:35" x14ac:dyDescent="0.15">
      <c r="AB144" s="239"/>
      <c r="AC144" s="56" t="s">
        <v>119</v>
      </c>
      <c r="AD144" s="58" t="str">
        <f t="shared" ref="AD144:AI144" si="53">IF(AD123,AD140*FINV((1-$D$27/100)/2,AD142,AD141),"")</f>
        <v/>
      </c>
      <c r="AE144" s="58" t="str">
        <f t="shared" si="53"/>
        <v/>
      </c>
      <c r="AF144" s="58" t="str">
        <f t="shared" si="53"/>
        <v/>
      </c>
      <c r="AG144" s="58" t="str">
        <f t="shared" si="53"/>
        <v/>
      </c>
      <c r="AH144" s="58" t="str">
        <f t="shared" si="53"/>
        <v/>
      </c>
      <c r="AI144" s="58" t="e">
        <f t="shared" si="53"/>
        <v>#REF!</v>
      </c>
    </row>
    <row r="145" spans="28:35" x14ac:dyDescent="0.15">
      <c r="AB145" s="240"/>
      <c r="AC145" s="241" t="s">
        <v>120</v>
      </c>
      <c r="AD145" s="242" t="str">
        <f>IF((AD54&gt;3)*AD123,FISHER(AD132),"")</f>
        <v/>
      </c>
      <c r="AE145" s="242" t="str">
        <f>IF((AE54&gt;3)*AE123,FISHER(AE132),"")</f>
        <v/>
      </c>
      <c r="AF145" s="242" t="str">
        <f>IF((AF54&gt;3)*AF123,FISHER(AF132),"")</f>
        <v/>
      </c>
      <c r="AG145" s="242" t="str">
        <f>IF((AG54&gt;3)*AG123,FISHER(AG132),"")</f>
        <v/>
      </c>
      <c r="AH145" s="242" t="str">
        <f>IF((AH54&gt;3)*AH123,FISHER(AH132),"")</f>
        <v/>
      </c>
      <c r="AI145" s="242" t="e">
        <f>SUMPRODUCT(AD145:AH145,AD146:AH146)/SUM(AD146:AH146)</f>
        <v>#DIV/0!</v>
      </c>
    </row>
    <row r="146" spans="28:35" x14ac:dyDescent="0.15">
      <c r="AB146" s="240"/>
      <c r="AC146" s="243" t="s">
        <v>121</v>
      </c>
      <c r="AD146" s="244" t="str">
        <f>IF((AD54&gt;3)*AD123,(AD54-3),"")</f>
        <v/>
      </c>
      <c r="AE146" s="244" t="str">
        <f>IF((AE54&gt;3)*AE123,(AE54-3),"")</f>
        <v/>
      </c>
      <c r="AF146" s="244" t="str">
        <f>IF((AF54&gt;3)*AF123,(AF54-3),"")</f>
        <v/>
      </c>
      <c r="AG146" s="244" t="str">
        <f>IF((AG54&gt;3)*AG123,(AG54-3),"")</f>
        <v/>
      </c>
      <c r="AH146" s="244" t="str">
        <f>IF((AH54&gt;3)*AH123,(AH54-3),"")</f>
        <v/>
      </c>
      <c r="AI146" s="244"/>
    </row>
    <row r="147" spans="28:35" x14ac:dyDescent="0.15">
      <c r="AB147" s="240"/>
      <c r="AC147" s="243" t="s">
        <v>122</v>
      </c>
      <c r="AD147" s="244" t="str">
        <f>IF(AD$123*(AD136&gt;0),(SUMPRODUCT(V$47:W$47,V$47:W$47,V$50:W$50)/SUM(V$50:W$50))-AD113^2,"")</f>
        <v/>
      </c>
      <c r="AE147" s="244" t="str">
        <f>IF(AE$123*(AE136&gt;0),(SUMPRODUCT(W$47:X$47,W$47:X$47,W$50:X$50)/SUM(W$50:X$50))-AE113^2,"")</f>
        <v/>
      </c>
      <c r="AF147" s="244" t="str">
        <f>IF(AF$123*(AF136&gt;0),(SUMPRODUCT(X$47:Y$47,X$47:Y$47,X$50:Y$50)/SUM(X$50:Y$50))-AF113^2,"")</f>
        <v/>
      </c>
      <c r="AG147" s="244" t="str">
        <f>IF(AG$123*(AG136&gt;0),(SUMPRODUCT(Y$47:Z$47,Y$47:Z$47,Y$50:Z$50)/SUM(Y$50:Z$50))-AG113^2,"")</f>
        <v/>
      </c>
      <c r="AH147" s="244" t="str">
        <f>IF(AH$123*(AH136&gt;0),(SUMPRODUCT(Z$47:AA$47,Z$47:AA$47,Z$50:AA$50)/SUM(Z$50:AA$50))-AH113^2,"")</f>
        <v/>
      </c>
      <c r="AI147" s="244" t="e">
        <f>IF(AI$123*(AI136&gt;0),AB47^2-AI113^2,"")</f>
        <v>#REF!</v>
      </c>
    </row>
    <row r="148" spans="28:35" x14ac:dyDescent="0.15">
      <c r="AB148" s="240"/>
      <c r="AC148" s="243" t="s">
        <v>123</v>
      </c>
      <c r="AD148" s="244" t="str">
        <f>IF(AD$123*(AD136&gt;0),SQRT(2*((SUMPRODUCT(V$47:W$47,V$47:W$47,V$50:W$50)/SUM(V$50:W$50))^2/AD141-AD123^4/AD142)),"")</f>
        <v/>
      </c>
      <c r="AE148" s="244" t="str">
        <f>IF(AE$123*(AE136&gt;0),SQRT(2*((SUMPRODUCT(W$47:X$47,W$47:X$47,W$50:X$50)/SUM(W$50:X$50))^2/AE141-AE123^4/AE142)),"")</f>
        <v/>
      </c>
      <c r="AF148" s="244" t="str">
        <f>IF(AF$123*(AF136&gt;0),SQRT(2*((SUMPRODUCT(X$47:Y$47,X$47:Y$47,X$50:Y$50)/SUM(X$50:Y$50))^2/AF141-AF123^4/AF142)),"")</f>
        <v/>
      </c>
      <c r="AG148" s="244" t="str">
        <f>IF(AG$123*(AG136&gt;0),SQRT(2*((SUMPRODUCT(Y$47:Z$47,Y$47:Z$47,Y$50:Z$50)/SUM(Y$50:Z$50))^2/AG141-AG123^4/AG142)),"")</f>
        <v/>
      </c>
      <c r="AH148" s="244" t="str">
        <f>IF(AH$123*(AH136&gt;0),SQRT(2*((SUMPRODUCT(Z$47:AA$47,Z$47:AA$47,Z$50:AA$50)/SUM(Z$50:AA$50))^2/AH141-AH123^4/AH142)),"")</f>
        <v/>
      </c>
      <c r="AI148" s="244" t="e">
        <f>IF(AI$123*(AI136&gt;0),SQRT(2*AB47^4/AI141-AI113^4/AI142),"")</f>
        <v>#REF!</v>
      </c>
    </row>
    <row r="149" spans="28:35" x14ac:dyDescent="0.15">
      <c r="AB149" s="240"/>
      <c r="AC149" s="243" t="s">
        <v>124</v>
      </c>
      <c r="AD149" s="244" t="str">
        <f t="shared" ref="AD149:AI149" si="54">IF(AD$123*(AD136&gt;0),AD147+NORMSINV((100-$D$27)/100/2)*AD148,"")</f>
        <v/>
      </c>
      <c r="AE149" s="244" t="str">
        <f t="shared" si="54"/>
        <v/>
      </c>
      <c r="AF149" s="244" t="str">
        <f t="shared" si="54"/>
        <v/>
      </c>
      <c r="AG149" s="244" t="str">
        <f t="shared" si="54"/>
        <v/>
      </c>
      <c r="AH149" s="244" t="str">
        <f t="shared" si="54"/>
        <v/>
      </c>
      <c r="AI149" s="244" t="e">
        <f t="shared" si="54"/>
        <v>#REF!</v>
      </c>
    </row>
    <row r="150" spans="28:35" x14ac:dyDescent="0.15">
      <c r="AB150" s="240"/>
      <c r="AC150" s="243" t="s">
        <v>125</v>
      </c>
      <c r="AD150" s="244" t="str">
        <f t="shared" ref="AD150:AI150" si="55">IF(AD$123*(AD136&gt;0),AD147-NORMSINV((100-$D$27)/100/2)*AD148,"")</f>
        <v/>
      </c>
      <c r="AE150" s="244" t="str">
        <f t="shared" si="55"/>
        <v/>
      </c>
      <c r="AF150" s="244" t="str">
        <f t="shared" si="55"/>
        <v/>
      </c>
      <c r="AG150" s="244" t="str">
        <f t="shared" si="55"/>
        <v/>
      </c>
      <c r="AH150" s="244" t="str">
        <f t="shared" si="55"/>
        <v/>
      </c>
      <c r="AI150" s="244" t="e">
        <f t="shared" si="55"/>
        <v>#REF!</v>
      </c>
    </row>
  </sheetData>
  <mergeCells count="2">
    <mergeCell ref="J72:K72"/>
    <mergeCell ref="AB89:AC89"/>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Reliability_1-2</vt:lpstr>
      <vt:lpstr>Reliability_1-3</vt:lpstr>
      <vt:lpstr>Reliability_2-3 </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nuria</dc:creator>
  <cp:lastModifiedBy>Claudio Cifuentes Zapata</cp:lastModifiedBy>
  <dcterms:created xsi:type="dcterms:W3CDTF">2022-03-19T16:55:26Z</dcterms:created>
  <dcterms:modified xsi:type="dcterms:W3CDTF">2024-07-30T15:36:18Z</dcterms:modified>
</cp:coreProperties>
</file>