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echiggins/Downloads/"/>
    </mc:Choice>
  </mc:AlternateContent>
  <xr:revisionPtr revIDLastSave="0" documentId="13_ncr:1_{843B2AD8-B497-994B-8839-B1451E7EBB1D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Dataframe" sheetId="1" r:id="rId1"/>
    <sheet name="Fish_Abun" sheetId="2" r:id="rId2"/>
    <sheet name="Fish_Species" sheetId="3" r:id="rId3"/>
    <sheet name="Bit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jLcb5CTctun8PECSRhl5ALhgj7Ww=="/>
    </ext>
  </extLst>
</workbook>
</file>

<file path=xl/calcChain.xml><?xml version="1.0" encoding="utf-8"?>
<calcChain xmlns="http://schemas.openxmlformats.org/spreadsheetml/2006/main">
  <c r="V72" i="1" l="1"/>
  <c r="V73" i="1"/>
  <c r="V74" i="1"/>
  <c r="V75" i="1"/>
  <c r="V76" i="1"/>
  <c r="V77" i="1"/>
  <c r="K88" i="1"/>
  <c r="B29" i="4"/>
  <c r="B16" i="4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U22" i="2"/>
  <c r="U21" i="2"/>
  <c r="U20" i="2"/>
  <c r="U19" i="2"/>
  <c r="U18" i="2"/>
  <c r="U17" i="2"/>
  <c r="U16" i="2"/>
  <c r="U15" i="2"/>
  <c r="U14" i="2"/>
  <c r="U13" i="2"/>
  <c r="C28" i="2" s="1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U11" i="2"/>
  <c r="U10" i="2"/>
  <c r="U9" i="2"/>
  <c r="U8" i="2"/>
  <c r="U7" i="2"/>
  <c r="U6" i="2"/>
  <c r="U5" i="2"/>
  <c r="U4" i="2"/>
  <c r="U3" i="2"/>
  <c r="U2" i="2"/>
  <c r="C27" i="2" s="1"/>
  <c r="O88" i="1"/>
  <c r="F88" i="1"/>
  <c r="AA88" i="1" s="1"/>
  <c r="AA86" i="1"/>
  <c r="K86" i="1"/>
  <c r="R86" i="1" s="1"/>
  <c r="F86" i="1"/>
  <c r="E86" i="1"/>
  <c r="AA84" i="1"/>
  <c r="R84" i="1"/>
  <c r="R71" i="1"/>
  <c r="P71" i="1"/>
  <c r="O71" i="1"/>
  <c r="M71" i="1"/>
  <c r="H71" i="1"/>
  <c r="G71" i="1"/>
  <c r="F71" i="1"/>
  <c r="E71" i="1"/>
  <c r="V71" i="1" s="1"/>
  <c r="R70" i="1"/>
  <c r="P70" i="1"/>
  <c r="O70" i="1"/>
  <c r="M70" i="1"/>
  <c r="H70" i="1"/>
  <c r="G70" i="1"/>
  <c r="F70" i="1"/>
  <c r="E70" i="1"/>
  <c r="V70" i="1" s="1"/>
  <c r="P69" i="1"/>
  <c r="N88" i="1" s="1"/>
  <c r="O69" i="1"/>
  <c r="M88" i="1" s="1"/>
  <c r="M69" i="1"/>
  <c r="R88" i="1" s="1"/>
  <c r="H69" i="1"/>
  <c r="G69" i="1"/>
  <c r="E88" i="1" s="1"/>
  <c r="F69" i="1"/>
  <c r="D88" i="1" s="1"/>
  <c r="E69" i="1"/>
  <c r="C88" i="1" s="1"/>
  <c r="P68" i="1"/>
  <c r="N68" i="1"/>
  <c r="L68" i="1"/>
  <c r="H68" i="1"/>
  <c r="G68" i="1"/>
  <c r="F68" i="1"/>
  <c r="V68" i="1" s="1"/>
  <c r="E68" i="1"/>
  <c r="P67" i="1"/>
  <c r="N67" i="1"/>
  <c r="L67" i="1"/>
  <c r="J67" i="1"/>
  <c r="H67" i="1"/>
  <c r="G67" i="1"/>
  <c r="V67" i="1" s="1"/>
  <c r="E67" i="1"/>
  <c r="P66" i="1"/>
  <c r="N66" i="1"/>
  <c r="L87" i="1" s="1"/>
  <c r="L66" i="1"/>
  <c r="J66" i="1"/>
  <c r="H66" i="1"/>
  <c r="G66" i="1"/>
  <c r="F66" i="1"/>
  <c r="E66" i="1"/>
  <c r="V66" i="1" s="1"/>
  <c r="P65" i="1"/>
  <c r="L65" i="1"/>
  <c r="H65" i="1"/>
  <c r="G65" i="1"/>
  <c r="V65" i="1" s="1"/>
  <c r="F65" i="1"/>
  <c r="D87" i="1" s="1"/>
  <c r="E65" i="1"/>
  <c r="U64" i="1"/>
  <c r="P64" i="1"/>
  <c r="L64" i="1"/>
  <c r="J64" i="1"/>
  <c r="H87" i="1" s="1"/>
  <c r="R87" i="1" s="1"/>
  <c r="H64" i="1"/>
  <c r="G64" i="1"/>
  <c r="V64" i="1" s="1"/>
  <c r="E64" i="1"/>
  <c r="U63" i="1"/>
  <c r="P63" i="1"/>
  <c r="N87" i="1" s="1"/>
  <c r="L63" i="1"/>
  <c r="J87" i="1" s="1"/>
  <c r="H63" i="1"/>
  <c r="F87" i="1" s="1"/>
  <c r="G63" i="1"/>
  <c r="E87" i="1" s="1"/>
  <c r="E63" i="1"/>
  <c r="C87" i="1" s="1"/>
  <c r="P62" i="1"/>
  <c r="L62" i="1"/>
  <c r="H62" i="1"/>
  <c r="G62" i="1"/>
  <c r="E62" i="1"/>
  <c r="V62" i="1" s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6" i="1"/>
  <c r="T56" i="1"/>
  <c r="S56" i="1"/>
  <c r="R56" i="1"/>
  <c r="Q56" i="1"/>
  <c r="P56" i="1"/>
  <c r="N85" i="1" s="1"/>
  <c r="O56" i="1"/>
  <c r="N56" i="1"/>
  <c r="L85" i="1" s="1"/>
  <c r="M56" i="1"/>
  <c r="L56" i="1"/>
  <c r="J85" i="1" s="1"/>
  <c r="K56" i="1"/>
  <c r="J56" i="1"/>
  <c r="H85" i="1" s="1"/>
  <c r="I56" i="1"/>
  <c r="G85" i="1" s="1"/>
  <c r="H56" i="1"/>
  <c r="F85" i="1" s="1"/>
  <c r="AA85" i="1" s="1"/>
  <c r="G56" i="1"/>
  <c r="E85" i="1" s="1"/>
  <c r="F56" i="1"/>
  <c r="D85" i="1" s="1"/>
  <c r="E56" i="1"/>
  <c r="C85" i="1" s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E55" i="1"/>
  <c r="F54" i="1"/>
  <c r="D84" i="1" s="1"/>
  <c r="E54" i="1"/>
  <c r="V54" i="1" s="1"/>
  <c r="V53" i="1"/>
  <c r="F53" i="1"/>
  <c r="E53" i="1"/>
  <c r="C84" i="1" s="1"/>
  <c r="T52" i="1"/>
  <c r="P52" i="1"/>
  <c r="L52" i="1"/>
  <c r="H52" i="1"/>
  <c r="V52" i="1" s="1"/>
  <c r="G52" i="1"/>
  <c r="E52" i="1"/>
  <c r="V51" i="1"/>
  <c r="U51" i="1"/>
  <c r="T51" i="1"/>
  <c r="S51" i="1"/>
  <c r="R51" i="1"/>
  <c r="Q51" i="1"/>
  <c r="P51" i="1"/>
  <c r="N82" i="1" s="1"/>
  <c r="O51" i="1"/>
  <c r="N51" i="1"/>
  <c r="M51" i="1"/>
  <c r="L51" i="1"/>
  <c r="J82" i="1" s="1"/>
  <c r="R82" i="1" s="1"/>
  <c r="K51" i="1"/>
  <c r="J51" i="1"/>
  <c r="I51" i="1"/>
  <c r="H51" i="1"/>
  <c r="F82" i="1" s="1"/>
  <c r="AA82" i="1" s="1"/>
  <c r="G51" i="1"/>
  <c r="E82" i="1" s="1"/>
  <c r="F51" i="1"/>
  <c r="E51" i="1"/>
  <c r="C82" i="1" s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V47" i="1"/>
  <c r="U47" i="1"/>
  <c r="T47" i="1"/>
  <c r="S47" i="1"/>
  <c r="R47" i="1"/>
  <c r="Q47" i="1"/>
  <c r="P47" i="1"/>
  <c r="N83" i="1" s="1"/>
  <c r="O47" i="1"/>
  <c r="N47" i="1"/>
  <c r="L83" i="1" s="1"/>
  <c r="M47" i="1"/>
  <c r="L47" i="1"/>
  <c r="J83" i="1" s="1"/>
  <c r="K47" i="1"/>
  <c r="I83" i="1" s="1"/>
  <c r="J47" i="1"/>
  <c r="H83" i="1" s="1"/>
  <c r="R83" i="1" s="1"/>
  <c r="I47" i="1"/>
  <c r="H47" i="1"/>
  <c r="F83" i="1" s="1"/>
  <c r="G47" i="1"/>
  <c r="E83" i="1" s="1"/>
  <c r="F47" i="1"/>
  <c r="D83" i="1" s="1"/>
  <c r="E47" i="1"/>
  <c r="C83" i="1" s="1"/>
  <c r="V44" i="1"/>
  <c r="V43" i="1"/>
  <c r="V42" i="1"/>
  <c r="V41" i="1"/>
  <c r="W40" i="1"/>
  <c r="V40" i="1"/>
  <c r="W39" i="1"/>
  <c r="V39" i="1"/>
  <c r="V38" i="1"/>
  <c r="W37" i="1"/>
  <c r="V37" i="1"/>
  <c r="W36" i="1"/>
  <c r="V36" i="1"/>
  <c r="W35" i="1"/>
  <c r="V35" i="1"/>
  <c r="W34" i="1"/>
  <c r="P33" i="1"/>
  <c r="M33" i="1"/>
  <c r="H33" i="1"/>
  <c r="G33" i="1"/>
  <c r="V33" i="1" s="1"/>
  <c r="E33" i="1"/>
  <c r="P32" i="1"/>
  <c r="H32" i="1"/>
  <c r="G32" i="1"/>
  <c r="F32" i="1"/>
  <c r="E32" i="1"/>
  <c r="V32" i="1" s="1"/>
  <c r="V31" i="1"/>
  <c r="V59" i="1" s="1"/>
  <c r="V30" i="1"/>
  <c r="V58" i="1" s="1"/>
  <c r="V29" i="1"/>
  <c r="V57" i="1" s="1"/>
  <c r="V28" i="1"/>
  <c r="V56" i="1" s="1"/>
  <c r="V27" i="1"/>
  <c r="F27" i="1"/>
  <c r="E27" i="1"/>
  <c r="V26" i="1"/>
  <c r="F26" i="1"/>
  <c r="E26" i="1"/>
  <c r="F25" i="1"/>
  <c r="F55" i="1" s="1"/>
  <c r="V24" i="1"/>
  <c r="V23" i="1"/>
  <c r="V22" i="1"/>
  <c r="V50" i="1" s="1"/>
  <c r="V21" i="1"/>
  <c r="V49" i="1" s="1"/>
  <c r="V20" i="1"/>
  <c r="V48" i="1" s="1"/>
  <c r="V19" i="1"/>
  <c r="F16" i="1"/>
  <c r="E16" i="1"/>
  <c r="U15" i="1"/>
  <c r="H15" i="1"/>
  <c r="F15" i="1"/>
  <c r="E15" i="1"/>
  <c r="U14" i="1"/>
  <c r="H14" i="1"/>
  <c r="F14" i="1"/>
  <c r="E14" i="1"/>
  <c r="V12" i="1"/>
  <c r="F12" i="1"/>
  <c r="E12" i="1"/>
  <c r="V11" i="1"/>
  <c r="F11" i="1"/>
  <c r="E11" i="1"/>
  <c r="F10" i="1"/>
  <c r="E10" i="1"/>
  <c r="V10" i="1" s="1"/>
  <c r="F9" i="1"/>
  <c r="E9" i="1"/>
  <c r="V9" i="1" s="1"/>
  <c r="V8" i="1"/>
  <c r="F8" i="1"/>
  <c r="E8" i="1"/>
  <c r="V7" i="1"/>
  <c r="V6" i="1"/>
  <c r="E5" i="1"/>
  <c r="V5" i="1" s="1"/>
  <c r="E4" i="1"/>
  <c r="V4" i="1" s="1"/>
  <c r="E3" i="1"/>
  <c r="V3" i="1" s="1"/>
  <c r="E2" i="1"/>
  <c r="V2" i="1" s="1"/>
  <c r="U83" i="1" l="1"/>
  <c r="P83" i="1"/>
  <c r="U82" i="1"/>
  <c r="P82" i="1"/>
  <c r="P84" i="1"/>
  <c r="U84" i="1"/>
  <c r="AA87" i="1"/>
  <c r="U85" i="1"/>
  <c r="P85" i="1"/>
  <c r="R85" i="1"/>
  <c r="U88" i="1"/>
  <c r="P88" i="1"/>
  <c r="AA83" i="1"/>
  <c r="U87" i="1"/>
  <c r="P87" i="1"/>
  <c r="V63" i="1"/>
  <c r="V69" i="1"/>
  <c r="C86" i="1"/>
  <c r="U12" i="2"/>
  <c r="B28" i="2"/>
  <c r="V25" i="1"/>
  <c r="V55" i="1" s="1"/>
  <c r="U23" i="2"/>
  <c r="B27" i="2"/>
  <c r="U86" i="1" l="1"/>
  <c r="P86" i="1"/>
</calcChain>
</file>

<file path=xl/sharedStrings.xml><?xml version="1.0" encoding="utf-8"?>
<sst xmlns="http://schemas.openxmlformats.org/spreadsheetml/2006/main" count="555" uniqueCount="192">
  <si>
    <t>Site</t>
  </si>
  <si>
    <t>Side</t>
  </si>
  <si>
    <t>Date</t>
  </si>
  <si>
    <t>Photo</t>
  </si>
  <si>
    <t>Algal.Matrix</t>
  </si>
  <si>
    <t>Macroalgae</t>
  </si>
  <si>
    <t>Coralline.Algae</t>
  </si>
  <si>
    <t>Biofilm</t>
  </si>
  <si>
    <t>Anemone</t>
  </si>
  <si>
    <t>Ascidian</t>
  </si>
  <si>
    <t>Bivalve</t>
  </si>
  <si>
    <t>Bryozoan</t>
  </si>
  <si>
    <t>Hard.Coral</t>
  </si>
  <si>
    <t>Polychaete</t>
  </si>
  <si>
    <t>Soft.Coral</t>
  </si>
  <si>
    <t>Sponge</t>
  </si>
  <si>
    <t>Fish.Eggs</t>
  </si>
  <si>
    <t>Other</t>
  </si>
  <si>
    <t>Obscured</t>
  </si>
  <si>
    <t>Sediment</t>
  </si>
  <si>
    <t>Bare</t>
  </si>
  <si>
    <t>Total.Cover</t>
  </si>
  <si>
    <t>Total.Points</t>
  </si>
  <si>
    <t>Notes.Specific Identifications</t>
  </si>
  <si>
    <t>The.Bridge</t>
  </si>
  <si>
    <t>H</t>
  </si>
  <si>
    <t>Jan-30-2020</t>
  </si>
  <si>
    <t>DSC_2701</t>
  </si>
  <si>
    <t>DSC_2705</t>
  </si>
  <si>
    <t>V</t>
  </si>
  <si>
    <t>DSC_2722t</t>
  </si>
  <si>
    <t>DSC_2722b</t>
  </si>
  <si>
    <t>Great.Bay</t>
  </si>
  <si>
    <t>DSC_3038</t>
  </si>
  <si>
    <t>DSC_3040</t>
  </si>
  <si>
    <t>DSC_3042</t>
  </si>
  <si>
    <t>DSC_3028t</t>
  </si>
  <si>
    <t>DSC_3028b</t>
  </si>
  <si>
    <t>Great Bay</t>
  </si>
  <si>
    <t>Aug-12-2019</t>
  </si>
  <si>
    <t>P1030395</t>
  </si>
  <si>
    <t>P1030396</t>
  </si>
  <si>
    <t>P1030399</t>
  </si>
  <si>
    <t>DSC_2735</t>
  </si>
  <si>
    <t>DSC_2743</t>
  </si>
  <si>
    <t>DSC_2731</t>
  </si>
  <si>
    <t>DSC_2730</t>
  </si>
  <si>
    <t>DSC_3034</t>
  </si>
  <si>
    <t>Mikes.Maze</t>
  </si>
  <si>
    <t>DSC_2919</t>
  </si>
  <si>
    <t>DSC_2908</t>
  </si>
  <si>
    <t>DSC_2917</t>
  </si>
  <si>
    <t>DSC_2861</t>
  </si>
  <si>
    <t>DSC_2868</t>
  </si>
  <si>
    <t>DSC_2893</t>
  </si>
  <si>
    <t>DSC_2887</t>
  </si>
  <si>
    <t>DSC_2884</t>
  </si>
  <si>
    <t>DSC_2877</t>
  </si>
  <si>
    <t>Natural.Reefs</t>
  </si>
  <si>
    <t>Jan-29-2020</t>
  </si>
  <si>
    <t>DSC_2944</t>
  </si>
  <si>
    <t>DSC_2950</t>
  </si>
  <si>
    <t>DSC_2955</t>
  </si>
  <si>
    <t>DSC_2960</t>
  </si>
  <si>
    <t>Means</t>
  </si>
  <si>
    <t>Total</t>
  </si>
  <si>
    <t>Invert</t>
  </si>
  <si>
    <t>Algae</t>
  </si>
  <si>
    <t>TB.H</t>
  </si>
  <si>
    <t>TB.V</t>
  </si>
  <si>
    <t>GB.H</t>
  </si>
  <si>
    <t>GB.V</t>
  </si>
  <si>
    <t>MM.H</t>
  </si>
  <si>
    <t>MM.V</t>
  </si>
  <si>
    <t>MM.N</t>
  </si>
  <si>
    <t>Frame</t>
  </si>
  <si>
    <r>
      <rPr>
        <i/>
        <sz val="10"/>
        <color rgb="FF000000"/>
        <rFont val="Arial"/>
      </rPr>
      <t xml:space="preserve">Acanthurus </t>
    </r>
    <r>
      <rPr>
        <sz val="10"/>
        <color rgb="FF000000"/>
        <rFont val="Arial"/>
      </rPr>
      <t>spp. (Surgeonfish/Doctorfish)</t>
    </r>
  </si>
  <si>
    <r>
      <rPr>
        <i/>
        <sz val="10"/>
        <color rgb="FF000000"/>
        <rFont val="Arial"/>
      </rPr>
      <t xml:space="preserve">Abudefduf saxatilis </t>
    </r>
    <r>
      <rPr>
        <sz val="10"/>
        <color rgb="FF000000"/>
        <rFont val="Arial"/>
      </rPr>
      <t>(Sergeant major)</t>
    </r>
  </si>
  <si>
    <r>
      <rPr>
        <i/>
        <sz val="10"/>
        <color rgb="FF000000"/>
        <rFont val="Arial"/>
      </rPr>
      <t xml:space="preserve">Stegastes partitus </t>
    </r>
    <r>
      <rPr>
        <sz val="10"/>
        <color rgb="FF000000"/>
        <rFont val="Arial"/>
      </rPr>
      <t>(bicolor damselfish)</t>
    </r>
  </si>
  <si>
    <r>
      <rPr>
        <i/>
        <sz val="10"/>
        <color rgb="FF000000"/>
        <rFont val="Arial"/>
      </rPr>
      <t>Mycteroperca</t>
    </r>
    <r>
      <rPr>
        <sz val="10"/>
        <color rgb="FF000000"/>
        <rFont val="Arial"/>
      </rPr>
      <t xml:space="preserve"> sp. (grouper)</t>
    </r>
  </si>
  <si>
    <r>
      <rPr>
        <i/>
        <sz val="10"/>
        <color rgb="FF000000"/>
        <rFont val="Arial"/>
      </rPr>
      <t xml:space="preserve">Thalassoma bifasciatum </t>
    </r>
    <r>
      <rPr>
        <sz val="10"/>
        <color rgb="FF000000"/>
        <rFont val="Arial"/>
      </rPr>
      <t>(bluehead wrasse)</t>
    </r>
  </si>
  <si>
    <r>
      <rPr>
        <i/>
        <sz val="10"/>
        <color rgb="FF000000"/>
        <rFont val="Arial"/>
      </rPr>
      <t>Scarus</t>
    </r>
    <r>
      <rPr>
        <sz val="10"/>
        <color rgb="FF000000"/>
        <rFont val="Arial"/>
      </rPr>
      <t xml:space="preserve"> spp. (parrotfish)</t>
    </r>
  </si>
  <si>
    <r>
      <rPr>
        <i/>
        <sz val="10"/>
        <color rgb="FF000000"/>
        <rFont val="Arial"/>
      </rPr>
      <t>Halichoeres</t>
    </r>
    <r>
      <rPr>
        <sz val="10"/>
        <color rgb="FF000000"/>
        <rFont val="Arial"/>
      </rPr>
      <t xml:space="preserve"> sp. (wrasse - yellowhead?)</t>
    </r>
  </si>
  <si>
    <r>
      <rPr>
        <i/>
        <sz val="10"/>
        <color rgb="FF000000"/>
        <rFont val="Arial"/>
      </rPr>
      <t>Aluterus</t>
    </r>
    <r>
      <rPr>
        <sz val="10"/>
        <color rgb="FF000000"/>
        <rFont val="Arial"/>
      </rPr>
      <t xml:space="preserve"> spp. (scrawled filefish)</t>
    </r>
  </si>
  <si>
    <r>
      <rPr>
        <i/>
        <sz val="10"/>
        <color rgb="FF000000"/>
        <rFont val="Arial"/>
      </rPr>
      <t>Pseudupeneus maculatus</t>
    </r>
    <r>
      <rPr>
        <sz val="10"/>
        <color rgb="FF000000"/>
        <rFont val="Arial"/>
      </rPr>
      <t xml:space="preserve"> (spotted goatfish)</t>
    </r>
  </si>
  <si>
    <r>
      <rPr>
        <i/>
        <sz val="10"/>
        <color rgb="FF000000"/>
        <rFont val="Arial"/>
      </rPr>
      <t>Mulloidichthys martinicus</t>
    </r>
    <r>
      <rPr>
        <sz val="10"/>
        <color rgb="FF000000"/>
        <rFont val="Arial"/>
      </rPr>
      <t xml:space="preserve"> (yellow goatfish)</t>
    </r>
  </si>
  <si>
    <r>
      <rPr>
        <i/>
        <sz val="10"/>
        <color rgb="FF000000"/>
        <rFont val="Arial"/>
      </rPr>
      <t>Chaetodon striatus</t>
    </r>
    <r>
      <rPr>
        <sz val="10"/>
        <color rgb="FF000000"/>
        <rFont val="Arial"/>
      </rPr>
      <t xml:space="preserve"> (banded butterflyfish)</t>
    </r>
  </si>
  <si>
    <r>
      <rPr>
        <i/>
        <sz val="10"/>
        <color rgb="FF000000"/>
        <rFont val="Arial"/>
      </rPr>
      <t>Chaetodon capistratus</t>
    </r>
    <r>
      <rPr>
        <sz val="10"/>
        <color rgb="FF000000"/>
        <rFont val="Arial"/>
      </rPr>
      <t xml:space="preserve"> (foureye butterflyfish)</t>
    </r>
  </si>
  <si>
    <r>
      <rPr>
        <i/>
        <sz val="10"/>
        <color rgb="FF000000"/>
        <rFont val="Arial"/>
      </rPr>
      <t>Haemulon flavolineatum</t>
    </r>
    <r>
      <rPr>
        <sz val="10"/>
        <color rgb="FF000000"/>
        <rFont val="Arial"/>
      </rPr>
      <t xml:space="preserve"> (french grunt)</t>
    </r>
  </si>
  <si>
    <r>
      <rPr>
        <sz val="10"/>
        <color rgb="FF000000"/>
        <rFont val="Arial"/>
      </rPr>
      <t>Blue tang (</t>
    </r>
    <r>
      <rPr>
        <i/>
        <sz val="10"/>
        <color rgb="FF000000"/>
        <rFont val="Arial"/>
      </rPr>
      <t>Acanthurus coeruleus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</si>
  <si>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Squirrelfish (</t>
    </r>
    <r>
      <rPr>
        <i/>
        <sz val="10"/>
        <color rgb="FF000000"/>
        <rFont val="Arial"/>
      </rPr>
      <t>Holocentrus adscensionis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</si>
  <si>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Horse-eye jack (</t>
    </r>
    <r>
      <rPr>
        <i/>
        <sz val="10"/>
        <color rgb="FF000000"/>
        <rFont val="Arial"/>
      </rPr>
      <t>Caranx latus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</si>
  <si>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Baracouda (</t>
    </r>
    <r>
      <rPr>
        <i/>
        <sz val="10"/>
        <color rgb="FF000000"/>
        <rFont val="Arial"/>
      </rPr>
      <t>Sphyraena barracuda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</si>
  <si>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Gobies (</t>
    </r>
    <r>
      <rPr>
        <i/>
        <sz val="10"/>
        <color rgb="FF000000"/>
        <rFont val="Arial"/>
      </rPr>
      <t xml:space="preserve">Coryphopterus </t>
    </r>
    <r>
      <rPr>
        <sz val="10"/>
        <color rgb="FF000000"/>
        <rFont val="Arial"/>
      </rPr>
      <t>spp.)</t>
    </r>
  </si>
  <si>
    <t>Total_Frequency</t>
  </si>
  <si>
    <t>Notes</t>
  </si>
  <si>
    <t>MM</t>
  </si>
  <si>
    <t>fishies.00_01_00_00.Still002</t>
  </si>
  <si>
    <t>fishies.00_02_00_00.Still003</t>
  </si>
  <si>
    <t>fishies.00_03_00_00.Still004</t>
  </si>
  <si>
    <t>fishies.00_04_00_00.Still005</t>
  </si>
  <si>
    <t>fishies.00_05_00_00.Still006</t>
  </si>
  <si>
    <t>fishies.00_06_00_00.Still007</t>
  </si>
  <si>
    <t>fishies.00_07_00_00.Still008</t>
  </si>
  <si>
    <t>fishies.00_08_00_00.Still009</t>
  </si>
  <si>
    <t>fishies.00_09_00_00.Still010</t>
  </si>
  <si>
    <t>fishies.00_10_00_00.Still011</t>
  </si>
  <si>
    <t>TB</t>
  </si>
  <si>
    <t>fishies.00_00_48_27.Still002</t>
  </si>
  <si>
    <t>fishies.00_01_25_28.Still003</t>
  </si>
  <si>
    <t>fishies.00_02_06_06.Still004</t>
  </si>
  <si>
    <t>fishies.00_02_45_10.Still005</t>
  </si>
  <si>
    <t>fishies.00_03_25_02.Still006</t>
  </si>
  <si>
    <t>fishies.00_04_04_08.Still007</t>
  </si>
  <si>
    <t>fishies.00_04_42_09.Still008</t>
  </si>
  <si>
    <t>fishies.00_05_25_09.Still009</t>
  </si>
  <si>
    <t>fishies.00_06_05_01.Still010</t>
  </si>
  <si>
    <t>fishies.00_06_45_24.Still011</t>
  </si>
  <si>
    <t>Mean</t>
  </si>
  <si>
    <t>SD</t>
  </si>
  <si>
    <t>Species</t>
  </si>
  <si>
    <t>Video</t>
  </si>
  <si>
    <t>Code</t>
  </si>
  <si>
    <r>
      <rPr>
        <i/>
        <sz val="10"/>
        <color rgb="FF000000"/>
        <rFont val="Arial"/>
      </rPr>
      <t xml:space="preserve">Acanthurus </t>
    </r>
    <r>
      <rPr>
        <sz val="10"/>
        <color rgb="FF000000"/>
        <rFont val="Arial"/>
      </rPr>
      <t>spp. (Surgeonfish/Doctorfish)</t>
    </r>
  </si>
  <si>
    <t>GH030175</t>
  </si>
  <si>
    <r>
      <rPr>
        <i/>
        <sz val="10"/>
        <color rgb="FF000000"/>
        <rFont val="Arial"/>
      </rPr>
      <t xml:space="preserve">Abudefduf saxatilis </t>
    </r>
    <r>
      <rPr>
        <sz val="10"/>
        <color rgb="FF000000"/>
        <rFont val="Arial"/>
      </rPr>
      <t>(Sergeant major)</t>
    </r>
  </si>
  <si>
    <r>
      <rPr>
        <i/>
        <sz val="10"/>
        <color rgb="FF000000"/>
        <rFont val="Arial"/>
      </rPr>
      <t xml:space="preserve">Stegastes partitus </t>
    </r>
    <r>
      <rPr>
        <sz val="10"/>
        <color rgb="FF000000"/>
        <rFont val="Arial"/>
      </rPr>
      <t>(bicolor damselfish)</t>
    </r>
  </si>
  <si>
    <r>
      <rPr>
        <i/>
        <sz val="10"/>
        <color rgb="FF000000"/>
        <rFont val="Arial"/>
      </rPr>
      <t>Mycteroperca</t>
    </r>
    <r>
      <rPr>
        <sz val="10"/>
        <color rgb="FF000000"/>
        <rFont val="Arial"/>
      </rPr>
      <t xml:space="preserve"> sp. (grouper)</t>
    </r>
  </si>
  <si>
    <r>
      <rPr>
        <i/>
        <sz val="10"/>
        <color rgb="FF000000"/>
        <rFont val="Arial"/>
      </rPr>
      <t xml:space="preserve">Thalassoma bifasciatum </t>
    </r>
    <r>
      <rPr>
        <sz val="10"/>
        <color rgb="FF000000"/>
        <rFont val="Arial"/>
      </rPr>
      <t>(bluehead wrasse)</t>
    </r>
  </si>
  <si>
    <r>
      <rPr>
        <i/>
        <sz val="10"/>
        <color rgb="FF000000"/>
        <rFont val="Arial"/>
      </rPr>
      <t>Scarus</t>
    </r>
    <r>
      <rPr>
        <sz val="10"/>
        <color rgb="FF000000"/>
        <rFont val="Arial"/>
      </rPr>
      <t xml:space="preserve"> spp. (parrotfish)</t>
    </r>
  </si>
  <si>
    <r>
      <rPr>
        <i/>
        <sz val="10"/>
        <color rgb="FF000000"/>
        <rFont val="Arial"/>
      </rPr>
      <t>Halichoeres</t>
    </r>
    <r>
      <rPr>
        <sz val="10"/>
        <color rgb="FF000000"/>
        <rFont val="Arial"/>
      </rPr>
      <t xml:space="preserve"> sp. (wrasse - yellowhead?)</t>
    </r>
  </si>
  <si>
    <r>
      <rPr>
        <i/>
        <sz val="10"/>
        <color rgb="FF000000"/>
        <rFont val="Arial"/>
      </rPr>
      <t>Aluterus</t>
    </r>
    <r>
      <rPr>
        <sz val="10"/>
        <color rgb="FF000000"/>
        <rFont val="Arial"/>
      </rPr>
      <t xml:space="preserve"> spp. (scrawled filefish)</t>
    </r>
  </si>
  <si>
    <r>
      <rPr>
        <i/>
        <sz val="10"/>
        <color rgb="FF000000"/>
        <rFont val="Arial"/>
      </rPr>
      <t>Pseudupeneus maculatus</t>
    </r>
    <r>
      <rPr>
        <sz val="10"/>
        <color rgb="FF000000"/>
        <rFont val="Arial"/>
      </rPr>
      <t xml:space="preserve"> (spotted goatfish)</t>
    </r>
  </si>
  <si>
    <r>
      <rPr>
        <i/>
        <sz val="10"/>
        <color rgb="FF000000"/>
        <rFont val="Arial"/>
      </rPr>
      <t>Mulloidichthys martinicus</t>
    </r>
    <r>
      <rPr>
        <sz val="10"/>
        <color rgb="FF000000"/>
        <rFont val="Arial"/>
      </rPr>
      <t xml:space="preserve"> (yellow goatfish)</t>
    </r>
  </si>
  <si>
    <r>
      <rPr>
        <i/>
        <sz val="10"/>
        <color rgb="FF000000"/>
        <rFont val="Arial"/>
      </rPr>
      <t>Chaetodon striatus</t>
    </r>
    <r>
      <rPr>
        <sz val="10"/>
        <color rgb="FF000000"/>
        <rFont val="Arial"/>
      </rPr>
      <t xml:space="preserve"> (banded butterflyfish)</t>
    </r>
  </si>
  <si>
    <r>
      <rPr>
        <i/>
        <sz val="10"/>
        <color rgb="FF000000"/>
        <rFont val="Arial"/>
      </rPr>
      <t>Chaetodon capistratus</t>
    </r>
    <r>
      <rPr>
        <sz val="10"/>
        <color rgb="FF000000"/>
        <rFont val="Arial"/>
      </rPr>
      <t xml:space="preserve"> (foureye butterflyfish)</t>
    </r>
  </si>
  <si>
    <r>
      <rPr>
        <i/>
        <sz val="10"/>
        <color rgb="FF000000"/>
        <rFont val="Arial"/>
      </rPr>
      <t>Haemulon flavolineatum</t>
    </r>
    <r>
      <rPr>
        <sz val="10"/>
        <color rgb="FF000000"/>
        <rFont val="Arial"/>
      </rPr>
      <t xml:space="preserve"> (french grunt)</t>
    </r>
  </si>
  <si>
    <r>
      <rPr>
        <sz val="10"/>
        <color rgb="FF000000"/>
        <rFont val="Arial"/>
      </rPr>
      <t>Bluehead wrasse (</t>
    </r>
    <r>
      <rPr>
        <i/>
        <sz val="10"/>
        <color rgb="FF000000"/>
        <rFont val="Arial"/>
      </rPr>
      <t>Thalassoma bifasciatum</t>
    </r>
    <r>
      <rPr>
        <sz val="10"/>
        <color rgb="FF000000"/>
        <rFont val="Arial"/>
      </rPr>
      <t>)</t>
    </r>
  </si>
  <si>
    <t>GX020622</t>
  </si>
  <si>
    <r>
      <rPr>
        <sz val="10"/>
        <color rgb="FF000000"/>
        <rFont val="Arial"/>
      </rPr>
      <t>Blue tang (</t>
    </r>
    <r>
      <rPr>
        <i/>
        <sz val="10"/>
        <color rgb="FF000000"/>
        <rFont val="Arial"/>
      </rPr>
      <t>Acanthurus coeruleus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</si>
  <si>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Bicolor damselfish (</t>
    </r>
    <r>
      <rPr>
        <i/>
        <sz val="10"/>
        <color rgb="FF000000"/>
        <rFont val="Arial"/>
      </rPr>
      <t>Stegastes partitus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</si>
  <si>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Surgeonfish/Doctorfish (</t>
    </r>
    <r>
      <rPr>
        <i/>
        <sz val="10"/>
        <color rgb="FF000000"/>
        <rFont val="Arial"/>
      </rPr>
      <t xml:space="preserve">Acanthurus </t>
    </r>
    <r>
      <rPr>
        <sz val="10"/>
        <color rgb="FF000000"/>
        <rFont val="Arial"/>
      </rPr>
      <t>spp.)</t>
    </r>
  </si>
  <si>
    <r>
      <rPr>
        <sz val="10"/>
        <color rgb="FF000000"/>
        <rFont val="Arial"/>
      </rPr>
      <t>Squirrelfish (</t>
    </r>
    <r>
      <rPr>
        <i/>
        <sz val="10"/>
        <color rgb="FF000000"/>
        <rFont val="Arial"/>
      </rPr>
      <t>Holocentrus adscensionis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</si>
  <si>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Spotted goatfish (</t>
    </r>
    <r>
      <rPr>
        <i/>
        <sz val="10"/>
        <color rgb="FF000000"/>
        <rFont val="Arial"/>
      </rPr>
      <t>Pseudupeneus maculatus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</si>
  <si>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Horse-eye jack (</t>
    </r>
    <r>
      <rPr>
        <i/>
        <sz val="10"/>
        <color rgb="FF000000"/>
        <rFont val="Arial"/>
      </rPr>
      <t>Caranx latus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</si>
  <si>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Yellow goatfish (</t>
    </r>
    <r>
      <rPr>
        <i/>
        <sz val="10"/>
        <color rgb="FF000000"/>
        <rFont val="Arial"/>
      </rPr>
      <t>Mulloidichthys martinicus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</si>
  <si>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Baracouda (</t>
    </r>
    <r>
      <rPr>
        <i/>
        <sz val="10"/>
        <color rgb="FF000000"/>
        <rFont val="Arial"/>
      </rPr>
      <t>Sphyraena barracuda</t>
    </r>
    <r>
      <rPr>
        <sz val="10"/>
        <color rgb="FF000000"/>
        <rFont val="Arial"/>
      </rPr>
      <t>)</t>
    </r>
  </si>
  <si>
    <t>GB</t>
  </si>
  <si>
    <r>
      <rPr>
        <sz val="10"/>
        <color rgb="FF000000"/>
        <rFont val="Arial"/>
      </rPr>
      <t>Gobies (</t>
    </r>
    <r>
      <rPr>
        <i/>
        <sz val="10"/>
        <color rgb="FF000000"/>
        <rFont val="Arial"/>
      </rPr>
      <t xml:space="preserve">Coryphopterus </t>
    </r>
    <r>
      <rPr>
        <sz val="10"/>
        <color rgb="FF000000"/>
        <rFont val="Arial"/>
      </rPr>
      <t>spp.)</t>
    </r>
  </si>
  <si>
    <t>NA</t>
  </si>
  <si>
    <t>Fish species</t>
  </si>
  <si>
    <t>Bite Rates (bites/min)</t>
  </si>
  <si>
    <t>Behaviour</t>
  </si>
  <si>
    <t>Mike’s Maze (MM)</t>
  </si>
  <si>
    <r>
      <rPr>
        <i/>
        <sz val="10"/>
        <color rgb="FF000000"/>
        <rFont val="Arial"/>
      </rPr>
      <t xml:space="preserve">Acanthurus </t>
    </r>
    <r>
      <rPr>
        <sz val="10"/>
        <color rgb="FF000000"/>
        <rFont val="Arial"/>
      </rPr>
      <t>spp.</t>
    </r>
  </si>
  <si>
    <t>Grazing</t>
  </si>
  <si>
    <t>Abudefduf saxatilis</t>
  </si>
  <si>
    <t>Grazing, sheltering</t>
  </si>
  <si>
    <t>Stegastes partitus</t>
  </si>
  <si>
    <r>
      <rPr>
        <i/>
        <sz val="10"/>
        <color rgb="FF000000"/>
        <rFont val="Arial"/>
      </rPr>
      <t>Mycteroperca</t>
    </r>
    <r>
      <rPr>
        <sz val="10"/>
        <color rgb="FF000000"/>
        <rFont val="Arial"/>
      </rPr>
      <t xml:space="preserve"> sp.</t>
    </r>
  </si>
  <si>
    <t>Thalassoma bifasciatum</t>
  </si>
  <si>
    <r>
      <rPr>
        <i/>
        <sz val="10"/>
        <color rgb="FF000000"/>
        <rFont val="Arial"/>
      </rPr>
      <t>Scarus</t>
    </r>
    <r>
      <rPr>
        <sz val="10"/>
        <color rgb="FF000000"/>
        <rFont val="Arial"/>
      </rPr>
      <t xml:space="preserve"> spp.</t>
    </r>
  </si>
  <si>
    <r>
      <rPr>
        <i/>
        <sz val="10"/>
        <color rgb="FF000000"/>
        <rFont val="Arial"/>
      </rPr>
      <t>Halichoeres</t>
    </r>
    <r>
      <rPr>
        <sz val="10"/>
        <color rgb="FF000000"/>
        <rFont val="Arial"/>
      </rPr>
      <t xml:space="preserve"> sp.</t>
    </r>
  </si>
  <si>
    <r>
      <rPr>
        <i/>
        <sz val="10"/>
        <color rgb="FF000000"/>
        <rFont val="Arial"/>
      </rPr>
      <t>Aluterus</t>
    </r>
    <r>
      <rPr>
        <sz val="10"/>
        <color rgb="FF000000"/>
        <rFont val="Arial"/>
      </rPr>
      <t xml:space="preserve"> spp.</t>
    </r>
  </si>
  <si>
    <t>Pseudupeneus maculatus</t>
  </si>
  <si>
    <t>Present near structure</t>
  </si>
  <si>
    <t>Mulloidichthys martinicus</t>
  </si>
  <si>
    <t>Chaetodon striatus</t>
  </si>
  <si>
    <t>Chaetodon capistratus</t>
  </si>
  <si>
    <t>Haemulon flavolineatum</t>
  </si>
  <si>
    <t>The Bridge (TB)</t>
  </si>
  <si>
    <r>
      <rPr>
        <sz val="10"/>
        <color rgb="FF000000"/>
        <rFont val="Arial"/>
      </rPr>
      <t>Bluehead wrasse (</t>
    </r>
    <r>
      <rPr>
        <i/>
        <sz val="10"/>
        <color rgb="FF000000"/>
        <rFont val="Arial"/>
      </rPr>
      <t>Thalassoma bifasciatum</t>
    </r>
    <r>
      <rPr>
        <sz val="10"/>
        <color rgb="FF000000"/>
        <rFont val="Arial"/>
      </rPr>
      <t>)</t>
    </r>
  </si>
  <si>
    <t>Sheltering, grazing</t>
  </si>
  <si>
    <r>
      <rPr>
        <sz val="10"/>
        <color rgb="FF000000"/>
        <rFont val="Arial"/>
      </rPr>
      <t>Blue tang (</t>
    </r>
    <r>
      <rPr>
        <i/>
        <sz val="10"/>
        <color rgb="FF000000"/>
        <rFont val="Arial"/>
      </rPr>
      <t>Acanthurus coeruleus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</si>
  <si>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Bicolor damselfish (</t>
    </r>
    <r>
      <rPr>
        <i/>
        <sz val="10"/>
        <color rgb="FF000000"/>
        <rFont val="Arial"/>
      </rPr>
      <t>Stegastes partitus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</si>
  <si>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Surgeonfish/Doctorfish (</t>
    </r>
    <r>
      <rPr>
        <i/>
        <sz val="10"/>
        <color rgb="FF000000"/>
        <rFont val="Arial"/>
      </rPr>
      <t xml:space="preserve">Acanthurus </t>
    </r>
    <r>
      <rPr>
        <sz val="10"/>
        <color rgb="FF000000"/>
        <rFont val="Arial"/>
      </rPr>
      <t>spp.)</t>
    </r>
  </si>
  <si>
    <r>
      <rPr>
        <sz val="10"/>
        <color rgb="FF000000"/>
        <rFont val="Arial"/>
      </rPr>
      <t>Squirrelfish (</t>
    </r>
    <r>
      <rPr>
        <i/>
        <sz val="10"/>
        <color rgb="FF000000"/>
        <rFont val="Arial"/>
      </rPr>
      <t>Holocentrus adscensionis</t>
    </r>
    <r>
      <rPr>
        <sz val="10"/>
        <color rgb="FF000000"/>
        <rFont val="Arial"/>
      </rPr>
      <t>)</t>
    </r>
  </si>
  <si>
    <t>Sheltering</t>
  </si>
  <si>
    <r>
      <rPr>
        <sz val="10"/>
        <color rgb="FF000000"/>
        <rFont val="Arial"/>
      </rPr>
      <t>Spotted goatfish (</t>
    </r>
    <r>
      <rPr>
        <i/>
        <sz val="10"/>
        <color rgb="FF000000"/>
        <rFont val="Arial"/>
      </rPr>
      <t>Pseudupeneus maculatus</t>
    </r>
    <r>
      <rPr>
        <sz val="10"/>
        <color rgb="FF000000"/>
        <rFont val="Arial"/>
      </rPr>
      <t>)</t>
    </r>
  </si>
  <si>
    <t>Foraging, grazing</t>
  </si>
  <si>
    <r>
      <rPr>
        <sz val="10"/>
        <color rgb="FF000000"/>
        <rFont val="Arial"/>
      </rPr>
      <t>Horse-eye jack (</t>
    </r>
    <r>
      <rPr>
        <i/>
        <sz val="10"/>
        <color rgb="FF000000"/>
        <rFont val="Arial"/>
      </rPr>
      <t>Caranx latus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</si>
  <si>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Yellow goatfish (</t>
    </r>
    <r>
      <rPr>
        <i/>
        <sz val="10"/>
        <color rgb="FF000000"/>
        <rFont val="Arial"/>
      </rPr>
      <t>Mulloidichthys martinicus</t>
    </r>
    <r>
      <rPr>
        <sz val="10"/>
        <color rgb="FF000000"/>
        <rFont val="Arial"/>
      </rPr>
      <t>)</t>
    </r>
  </si>
  <si>
    <t>Foraging, sheltering</t>
  </si>
  <si>
    <r>
      <rPr>
        <sz val="10"/>
        <color rgb="FF000000"/>
        <rFont val="Arial"/>
      </rPr>
      <t>Baracouda (</t>
    </r>
    <r>
      <rPr>
        <i/>
        <sz val="10"/>
        <color rgb="FF000000"/>
        <rFont val="Arial"/>
      </rPr>
      <t>Sphyraena barracuda</t>
    </r>
    <r>
      <rPr>
        <sz val="10"/>
        <color rgb="FF000000"/>
        <rFont val="Arial"/>
      </rPr>
      <t>)</t>
    </r>
  </si>
  <si>
    <t>Great Bay (GB)</t>
  </si>
  <si>
    <r>
      <rPr>
        <i/>
        <sz val="10"/>
        <color rgb="FF000000"/>
        <rFont val="Arial"/>
      </rPr>
      <t xml:space="preserve">Coryphopterus </t>
    </r>
    <r>
      <rPr>
        <sz val="10"/>
        <color rgb="FF000000"/>
        <rFont val="Arial"/>
      </rPr>
      <t>spp.</t>
    </r>
  </si>
  <si>
    <t>DSC_2985</t>
  </si>
  <si>
    <t>DSC_2943</t>
  </si>
  <si>
    <t>DSC_2931</t>
  </si>
  <si>
    <t>DSC_2909</t>
  </si>
  <si>
    <t>DSC_2936</t>
  </si>
  <si>
    <t>11.34584985745743r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</si>
</sst>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i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2" borderId="2" xfId="0" applyFont="1" applyFill="1" applyBorder="1"/>
    <xf numFmtId="0" fontId="5" fillId="0" borderId="0" xfId="0" applyFont="1"/>
    <xf numFmtId="0" fontId="6" fillId="0" borderId="0" xfId="0" applyFont="1"/>
    <xf numFmtId="0" fontId="2" fillId="3" borderId="0" xfId="0" applyFont="1" applyFill="1"/>
    <xf numFmtId="0" fontId="7" fillId="0" borderId="0" xfId="0" applyFont="1"/>
    <xf numFmtId="0" fontId="1" fillId="0" borderId="0" xfId="0" applyFont="1" applyAlignment="1"/>
    <xf numFmtId="0" fontId="1" fillId="0" borderId="0" xfId="0" applyFo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0" i="0">
                <a:solidFill>
                  <a:srgbClr val="757575"/>
                </a:solidFill>
                <a:latin typeface="+mn-lt"/>
              </a:defRPr>
            </a:pPr>
            <a:r>
              <a:rPr lang="en-CA" sz="1800" b="0" i="0">
                <a:solidFill>
                  <a:srgbClr val="757575"/>
                </a:solidFill>
                <a:latin typeface="+mn-lt"/>
              </a:rPr>
              <a:t>Sint Maarten IntelliReefs vs Natural Reefs</a:t>
            </a:r>
          </a:p>
        </c:rich>
      </c:tx>
      <c:layout>
        <c:manualLayout>
          <c:xMode val="edge"/>
          <c:yMode val="edge"/>
          <c:x val="0.37604715626910873"/>
          <c:y val="3.8362544915908917E-2"/>
        </c:manualLayout>
      </c:layout>
      <c:overlay val="0"/>
    </c:title>
    <c:autoTitleDeleted val="0"/>
    <c:plotArea>
      <c:layout>
        <c:manualLayout>
          <c:xMode val="edge"/>
          <c:yMode val="edge"/>
          <c:x val="8.2825743809995786E-2"/>
          <c:y val="0.14324812008759932"/>
          <c:w val="0.74282994382867751"/>
          <c:h val="0.77531797274215608"/>
        </c:manualLayout>
      </c:layout>
      <c:barChart>
        <c:barDir val="col"/>
        <c:grouping val="stacked"/>
        <c:varyColors val="1"/>
        <c:ser>
          <c:idx val="0"/>
          <c:order val="0"/>
          <c:tx>
            <c:v>Sponge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Dataframe!$N$82:$N$88</c:f>
              <c:numCache>
                <c:formatCode>General</c:formatCode>
                <c:ptCount val="7"/>
                <c:pt idx="0">
                  <c:v>12.236866880060251</c:v>
                </c:pt>
                <c:pt idx="1">
                  <c:v>47.231588750173053</c:v>
                </c:pt>
                <c:pt idx="2">
                  <c:v>0</c:v>
                </c:pt>
                <c:pt idx="3">
                  <c:v>20.166666666666664</c:v>
                </c:pt>
                <c:pt idx="4">
                  <c:v>36.1</c:v>
                </c:pt>
                <c:pt idx="5">
                  <c:v>42.185839299281085</c:v>
                </c:pt>
                <c:pt idx="6">
                  <c:v>5.7209297655814977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6C1-9F4A-9A2C-C1E9854BBD60}"/>
            </c:ext>
          </c:extLst>
        </c:ser>
        <c:ser>
          <c:idx val="1"/>
          <c:order val="1"/>
          <c:tx>
            <c:v>Soft.Coral</c:v>
          </c:tx>
          <c:spPr>
            <a:solidFill>
              <a:srgbClr val="58121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Dataframe!$M$82:$M$88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40.76507872516742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6C1-9F4A-9A2C-C1E9854BBD60}"/>
            </c:ext>
          </c:extLst>
        </c:ser>
        <c:ser>
          <c:idx val="2"/>
          <c:order val="2"/>
          <c:tx>
            <c:v>Polychaete</c:v>
          </c:tx>
          <c:spPr>
            <a:solidFill>
              <a:srgbClr val="00206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Dataframe!$L$82:$L$88</c:f>
              <c:numCache>
                <c:formatCode>General</c:formatCode>
                <c:ptCount val="7"/>
                <c:pt idx="0">
                  <c:v>0</c:v>
                </c:pt>
                <c:pt idx="1">
                  <c:v>1.9804780149607737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0.61788402884293292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6C1-9F4A-9A2C-C1E9854BBD60}"/>
            </c:ext>
          </c:extLst>
        </c:ser>
        <c:ser>
          <c:idx val="3"/>
          <c:order val="3"/>
          <c:tx>
            <c:v>Macroalgae</c:v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Dataframe!$D$82:$D$88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18.56993186682773</c:v>
                </c:pt>
                <c:pt idx="3">
                  <c:v>10.545368183218649</c:v>
                </c:pt>
                <c:pt idx="4">
                  <c:v>0</c:v>
                </c:pt>
                <c:pt idx="5">
                  <c:v>2.3232811150191286</c:v>
                </c:pt>
                <c:pt idx="6">
                  <c:v>3.0965206773754832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6C1-9F4A-9A2C-C1E9854BBD60}"/>
            </c:ext>
          </c:extLst>
        </c:ser>
        <c:ser>
          <c:idx val="4"/>
          <c:order val="4"/>
          <c:tx>
            <c:v>Hard.Coral</c:v>
          </c:tx>
          <c:spPr>
            <a:solidFill>
              <a:srgbClr val="F4DE1A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Dataframe!$K$82:$K$88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0.51020408163265307</c:v>
                </c:pt>
                <c:pt idx="5">
                  <c:v>0</c:v>
                </c:pt>
                <c:pt idx="6">
                  <c:v>4.4982279403871273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6C1-9F4A-9A2C-C1E9854BBD60}"/>
            </c:ext>
          </c:extLst>
        </c:ser>
        <c:ser>
          <c:idx val="5"/>
          <c:order val="5"/>
          <c:tx>
            <c:v>Coralline.Algae</c:v>
          </c:tx>
          <c:spPr>
            <a:solidFill>
              <a:srgbClr val="EB95B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Dataframe!$E$82:$E$88</c:f>
              <c:numCache>
                <c:formatCode>General</c:formatCode>
                <c:ptCount val="7"/>
                <c:pt idx="0">
                  <c:v>2.6548672566371683</c:v>
                </c:pt>
                <c:pt idx="1">
                  <c:v>6.3444079089114611</c:v>
                </c:pt>
                <c:pt idx="2">
                  <c:v>0</c:v>
                </c:pt>
                <c:pt idx="3">
                  <c:v>0</c:v>
                </c:pt>
                <c:pt idx="4">
                  <c:v>11.811224489795919</c:v>
                </c:pt>
                <c:pt idx="5">
                  <c:v>23.523179400533852</c:v>
                </c:pt>
                <c:pt idx="6">
                  <c:v>9.5295025335548313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76C1-9F4A-9A2C-C1E9854BBD60}"/>
            </c:ext>
          </c:extLst>
        </c:ser>
        <c:ser>
          <c:idx val="6"/>
          <c:order val="6"/>
          <c:tx>
            <c:v>Bryozoan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Dataframe!$J$82:$J$88</c:f>
              <c:numCache>
                <c:formatCode>General</c:formatCode>
                <c:ptCount val="7"/>
                <c:pt idx="0">
                  <c:v>1.3274336283185841</c:v>
                </c:pt>
                <c:pt idx="1">
                  <c:v>3.8901197283626674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9.0310752613834797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76C1-9F4A-9A2C-C1E9854BBD60}"/>
            </c:ext>
          </c:extLst>
        </c:ser>
        <c:ser>
          <c:idx val="7"/>
          <c:order val="7"/>
          <c:tx>
            <c:v>Bivalve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Dataframe!$I$82:$I$88</c:f>
              <c:numCache>
                <c:formatCode>General</c:formatCode>
                <c:ptCount val="7"/>
                <c:pt idx="0">
                  <c:v>0</c:v>
                </c:pt>
                <c:pt idx="1">
                  <c:v>0.14367816091954022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76C1-9F4A-9A2C-C1E9854BBD60}"/>
            </c:ext>
          </c:extLst>
        </c:ser>
        <c:ser>
          <c:idx val="8"/>
          <c:order val="8"/>
          <c:tx>
            <c:v>Biofilm</c:v>
          </c:tx>
          <c:spPr>
            <a:solidFill>
              <a:srgbClr val="6D3315">
                <a:alpha val="87451"/>
              </a:srgbClr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Dataframe!$F$82:$F$88</c:f>
              <c:numCache>
                <c:formatCode>General</c:formatCode>
                <c:ptCount val="7"/>
                <c:pt idx="0">
                  <c:v>22.457164375823762</c:v>
                </c:pt>
                <c:pt idx="1">
                  <c:v>25.598903108866722</c:v>
                </c:pt>
                <c:pt idx="2">
                  <c:v>0</c:v>
                </c:pt>
                <c:pt idx="3">
                  <c:v>3.8461538461538463</c:v>
                </c:pt>
                <c:pt idx="4">
                  <c:v>35.773809523809526</c:v>
                </c:pt>
                <c:pt idx="5">
                  <c:v>7.2243286603303725</c:v>
                </c:pt>
                <c:pt idx="6">
                  <c:v>8.378980569515015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76C1-9F4A-9A2C-C1E9854BBD60}"/>
            </c:ext>
          </c:extLst>
        </c:ser>
        <c:ser>
          <c:idx val="9"/>
          <c:order val="9"/>
          <c:tx>
            <c:v>Ascidian</c:v>
          </c:tx>
          <c:spPr>
            <a:solidFill>
              <a:srgbClr val="7030A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Dataframe!$H$82:$H$88</c:f>
              <c:numCache>
                <c:formatCode>General</c:formatCode>
                <c:ptCount val="7"/>
                <c:pt idx="0">
                  <c:v>2.9787234042553195</c:v>
                </c:pt>
                <c:pt idx="1">
                  <c:v>0.71421924436999806</c:v>
                </c:pt>
                <c:pt idx="2">
                  <c:v>0</c:v>
                </c:pt>
                <c:pt idx="3">
                  <c:v>4.4322344322344325</c:v>
                </c:pt>
                <c:pt idx="4">
                  <c:v>0</c:v>
                </c:pt>
                <c:pt idx="5">
                  <c:v>0.49715970863231124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76C1-9F4A-9A2C-C1E9854BBD60}"/>
            </c:ext>
          </c:extLst>
        </c:ser>
        <c:ser>
          <c:idx val="10"/>
          <c:order val="10"/>
          <c:tx>
            <c:v>Algal.Matrix</c:v>
          </c:tx>
          <c:spPr>
            <a:solidFill>
              <a:srgbClr val="11441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Dataframe!$A$82:$A$88</c:f>
              <c:strCache>
                <c:ptCount val="7"/>
                <c:pt idx="0">
                  <c:v>TB.H</c:v>
                </c:pt>
                <c:pt idx="1">
                  <c:v>TB.V</c:v>
                </c:pt>
                <c:pt idx="2">
                  <c:v>GB.H</c:v>
                </c:pt>
                <c:pt idx="3">
                  <c:v>GB.V</c:v>
                </c:pt>
                <c:pt idx="4">
                  <c:v>MM.H</c:v>
                </c:pt>
                <c:pt idx="5">
                  <c:v>MM.V</c:v>
                </c:pt>
                <c:pt idx="6">
                  <c:v>MM.N</c:v>
                </c:pt>
              </c:strCache>
            </c:strRef>
          </c:cat>
          <c:val>
            <c:numRef>
              <c:f>Dataframe!$C$82:$C$88</c:f>
              <c:numCache>
                <c:formatCode>General</c:formatCode>
                <c:ptCount val="7"/>
                <c:pt idx="0">
                  <c:v>16.441348145358688</c:v>
                </c:pt>
                <c:pt idx="1">
                  <c:v>14.09660508343579</c:v>
                </c:pt>
                <c:pt idx="2">
                  <c:v>13.90564403331426</c:v>
                </c:pt>
                <c:pt idx="3">
                  <c:v>19.956394851254665</c:v>
                </c:pt>
                <c:pt idx="4">
                  <c:v>13.221288515406163</c:v>
                </c:pt>
                <c:pt idx="5">
                  <c:v>13.02746814369246</c:v>
                </c:pt>
                <c:pt idx="6">
                  <c:v>16.544217308801759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76C1-9F4A-9A2C-C1E9854B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589803"/>
        <c:axId val="805153516"/>
      </c:barChart>
      <c:catAx>
        <c:axId val="7225898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5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5153516"/>
        <c:crosses val="autoZero"/>
        <c:auto val="1"/>
        <c:lblAlgn val="ctr"/>
        <c:lblOffset val="100"/>
        <c:noMultiLvlLbl val="1"/>
      </c:catAx>
      <c:valAx>
        <c:axId val="8051535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258980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43366016349865"/>
          <c:y val="0.20260515815361063"/>
        </c:manualLayout>
      </c:layout>
      <c:overlay val="0"/>
      <c:txPr>
        <a:bodyPr/>
        <a:lstStyle/>
        <a:p>
          <a:pPr lvl="0">
            <a:defRPr sz="15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91</xdr:row>
      <xdr:rowOff>38100</xdr:rowOff>
    </xdr:from>
    <xdr:ext cx="17564100" cy="6943725"/>
    <xdr:graphicFrame macro="">
      <xdr:nvGraphicFramePr>
        <xdr:cNvPr id="925110477" name="Chart 1">
          <a:extLst>
            <a:ext uri="{FF2B5EF4-FFF2-40B4-BE49-F238E27FC236}">
              <a16:creationId xmlns:a16="http://schemas.microsoft.com/office/drawing/2014/main" id="{00000000-0008-0000-0000-0000CD1024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4"/>
  <sheetViews>
    <sheetView tabSelected="1" zoomScale="87" zoomScaleNormal="109" workbookViewId="0">
      <pane ySplit="1" topLeftCell="A2" activePane="bottomLeft" state="frozen"/>
      <selection pane="bottomLeft" activeCell="V79" sqref="V79"/>
    </sheetView>
  </sheetViews>
  <sheetFormatPr baseColWidth="10" defaultColWidth="11.28515625" defaultRowHeight="15" customHeight="1" x14ac:dyDescent="0.2"/>
  <cols>
    <col min="1" max="1" width="14.140625" customWidth="1"/>
    <col min="2" max="2" width="10.5703125" customWidth="1"/>
    <col min="3" max="3" width="12.140625" customWidth="1"/>
    <col min="4" max="4" width="10.7109375" customWidth="1"/>
    <col min="5" max="27" width="10.5703125" customWidth="1"/>
  </cols>
  <sheetData>
    <row r="1" spans="1:24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t="15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>
        <f>21/82*100</f>
        <v>25.609756097560975</v>
      </c>
      <c r="V2" s="1">
        <f t="shared" ref="V2:V12" si="0">SUM(E2:U2)</f>
        <v>25.609756097560975</v>
      </c>
    </row>
    <row r="3" spans="1:24" ht="15.75" customHeight="1" x14ac:dyDescent="0.2">
      <c r="A3" s="1" t="s">
        <v>24</v>
      </c>
      <c r="B3" s="1" t="s">
        <v>25</v>
      </c>
      <c r="C3" s="1" t="s">
        <v>26</v>
      </c>
      <c r="D3" s="1" t="s">
        <v>28</v>
      </c>
      <c r="E3" s="1">
        <f>17/88*100</f>
        <v>19.318181818181817</v>
      </c>
      <c r="V3" s="1">
        <f t="shared" si="0"/>
        <v>19.318181818181817</v>
      </c>
    </row>
    <row r="4" spans="1:24" ht="15.75" customHeight="1" x14ac:dyDescent="0.2">
      <c r="A4" s="1" t="s">
        <v>24</v>
      </c>
      <c r="B4" s="1" t="s">
        <v>29</v>
      </c>
      <c r="C4" s="1" t="s">
        <v>26</v>
      </c>
      <c r="D4" s="1" t="s">
        <v>30</v>
      </c>
      <c r="E4" s="1">
        <f>9/133*100</f>
        <v>6.7669172932330826</v>
      </c>
      <c r="V4" s="1">
        <f t="shared" si="0"/>
        <v>6.7669172932330826</v>
      </c>
    </row>
    <row r="5" spans="1:24" ht="15.75" customHeight="1" x14ac:dyDescent="0.2">
      <c r="A5" s="1" t="s">
        <v>24</v>
      </c>
      <c r="B5" s="1" t="s">
        <v>29</v>
      </c>
      <c r="C5" s="1" t="s">
        <v>26</v>
      </c>
      <c r="D5" s="1" t="s">
        <v>31</v>
      </c>
      <c r="E5" s="1">
        <f>3/91*100</f>
        <v>3.296703296703297</v>
      </c>
      <c r="V5" s="1">
        <f t="shared" si="0"/>
        <v>3.296703296703297</v>
      </c>
    </row>
    <row r="6" spans="1:24" ht="15.75" customHeight="1" x14ac:dyDescent="0.2">
      <c r="A6" s="1" t="s">
        <v>24</v>
      </c>
      <c r="B6" s="1" t="s">
        <v>29</v>
      </c>
      <c r="C6" s="1" t="s">
        <v>26</v>
      </c>
      <c r="V6" s="1">
        <f t="shared" si="0"/>
        <v>0</v>
      </c>
    </row>
    <row r="7" spans="1:24" ht="15.75" customHeight="1" x14ac:dyDescent="0.2">
      <c r="A7" s="1" t="s">
        <v>24</v>
      </c>
      <c r="B7" s="1" t="s">
        <v>29</v>
      </c>
      <c r="C7" s="1" t="s">
        <v>26</v>
      </c>
      <c r="V7" s="1">
        <f t="shared" si="0"/>
        <v>0</v>
      </c>
    </row>
    <row r="8" spans="1:24" ht="15.75" customHeight="1" x14ac:dyDescent="0.2">
      <c r="A8" s="1" t="s">
        <v>32</v>
      </c>
      <c r="B8" s="1" t="s">
        <v>25</v>
      </c>
      <c r="C8" s="1" t="s">
        <v>26</v>
      </c>
      <c r="D8" s="1" t="s">
        <v>33</v>
      </c>
      <c r="E8" s="1">
        <f>15/96*100</f>
        <v>15.625</v>
      </c>
      <c r="F8" s="1">
        <f>24/96*100</f>
        <v>25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V8" s="1">
        <f t="shared" si="0"/>
        <v>40.625</v>
      </c>
    </row>
    <row r="9" spans="1:24" ht="15.75" customHeight="1" x14ac:dyDescent="0.2">
      <c r="A9" s="1" t="s">
        <v>32</v>
      </c>
      <c r="B9" s="1" t="s">
        <v>25</v>
      </c>
      <c r="C9" s="1" t="s">
        <v>26</v>
      </c>
      <c r="D9" s="1" t="s">
        <v>34</v>
      </c>
      <c r="E9" s="1">
        <f>17/107*100</f>
        <v>15.887850467289718</v>
      </c>
      <c r="F9" s="1">
        <f>11/107*100</f>
        <v>10.2803738317757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V9" s="1">
        <f t="shared" si="0"/>
        <v>26.168224299065418</v>
      </c>
    </row>
    <row r="10" spans="1:24" ht="15.75" customHeight="1" x14ac:dyDescent="0.2">
      <c r="A10" s="1" t="s">
        <v>32</v>
      </c>
      <c r="B10" s="1" t="s">
        <v>25</v>
      </c>
      <c r="C10" s="1" t="s">
        <v>26</v>
      </c>
      <c r="D10" s="1" t="s">
        <v>35</v>
      </c>
      <c r="E10" s="1">
        <f>10/98*100</f>
        <v>10.204081632653061</v>
      </c>
      <c r="F10" s="1">
        <f>19/98*100</f>
        <v>19.387755102040817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V10" s="1">
        <f t="shared" si="0"/>
        <v>29.591836734693878</v>
      </c>
    </row>
    <row r="11" spans="1:24" ht="15.75" customHeight="1" x14ac:dyDescent="0.2">
      <c r="A11" s="1" t="s">
        <v>32</v>
      </c>
      <c r="B11" s="1" t="s">
        <v>29</v>
      </c>
      <c r="C11" s="1" t="s">
        <v>26</v>
      </c>
      <c r="D11" s="1" t="s">
        <v>36</v>
      </c>
      <c r="E11" s="1">
        <f>13/84*100</f>
        <v>15.476190476190476</v>
      </c>
      <c r="F11" s="1">
        <f>5/84*100</f>
        <v>5.9523809523809517</v>
      </c>
      <c r="J11" s="1">
        <v>8</v>
      </c>
      <c r="P11" s="1">
        <v>28</v>
      </c>
      <c r="V11" s="1">
        <f t="shared" si="0"/>
        <v>57.428571428571431</v>
      </c>
    </row>
    <row r="12" spans="1:24" ht="15.75" customHeight="1" x14ac:dyDescent="0.2">
      <c r="A12" s="1" t="s">
        <v>32</v>
      </c>
      <c r="B12" s="1" t="s">
        <v>29</v>
      </c>
      <c r="C12" s="1" t="s">
        <v>26</v>
      </c>
      <c r="D12" s="1" t="s">
        <v>37</v>
      </c>
      <c r="E12" s="1">
        <f>15/75*100</f>
        <v>20</v>
      </c>
      <c r="F12" s="1">
        <f>1/75*100</f>
        <v>1.3333333333333335</v>
      </c>
      <c r="J12" s="1">
        <v>5</v>
      </c>
      <c r="N12" s="1">
        <v>3</v>
      </c>
      <c r="P12" s="1">
        <v>13</v>
      </c>
      <c r="V12" s="1">
        <f t="shared" si="0"/>
        <v>42.333333333333329</v>
      </c>
    </row>
    <row r="13" spans="1:24" ht="15.75" customHeight="1" x14ac:dyDescent="0.2">
      <c r="A13" s="1" t="s">
        <v>32</v>
      </c>
      <c r="B13" s="1" t="s">
        <v>29</v>
      </c>
      <c r="C13" s="1" t="s">
        <v>26</v>
      </c>
    </row>
    <row r="14" spans="1:24" ht="15.75" customHeight="1" x14ac:dyDescent="0.2">
      <c r="A14" s="1" t="s">
        <v>38</v>
      </c>
      <c r="B14" s="1" t="s">
        <v>29</v>
      </c>
      <c r="C14" s="1" t="s">
        <v>39</v>
      </c>
      <c r="D14" s="1" t="s">
        <v>40</v>
      </c>
      <c r="E14" s="1">
        <f>59/89*100</f>
        <v>66.292134831460672</v>
      </c>
      <c r="F14" s="1">
        <f>19/89*100</f>
        <v>21.348314606741571</v>
      </c>
      <c r="G14" s="1">
        <v>0</v>
      </c>
      <c r="H14" s="1">
        <f>6/89*100</f>
        <v>6.7415730337078648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f>5/89*100</f>
        <v>5.6179775280898872</v>
      </c>
    </row>
    <row r="15" spans="1:24" ht="15.75" customHeight="1" x14ac:dyDescent="0.2">
      <c r="A15" s="1" t="s">
        <v>38</v>
      </c>
      <c r="B15" s="1" t="s">
        <v>29</v>
      </c>
      <c r="C15" s="1" t="s">
        <v>39</v>
      </c>
      <c r="D15" s="1" t="s">
        <v>41</v>
      </c>
      <c r="E15" s="1">
        <f>44/75*100</f>
        <v>58.666666666666664</v>
      </c>
      <c r="F15" s="1">
        <f>27/75*100</f>
        <v>36</v>
      </c>
      <c r="G15" s="1">
        <v>0</v>
      </c>
      <c r="H15" s="1">
        <f>1/75*100</f>
        <v>1.3333333333333335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f>3/75*100</f>
        <v>4</v>
      </c>
    </row>
    <row r="16" spans="1:24" ht="15.75" customHeight="1" x14ac:dyDescent="0.2">
      <c r="A16" s="1" t="s">
        <v>38</v>
      </c>
      <c r="B16" s="1" t="s">
        <v>29</v>
      </c>
      <c r="C16" s="1" t="s">
        <v>39</v>
      </c>
      <c r="D16" s="1" t="s">
        <v>42</v>
      </c>
      <c r="E16" s="1">
        <f>52/54*100</f>
        <v>96.296296296296291</v>
      </c>
      <c r="F16" s="1">
        <f>2/54*100</f>
        <v>3.7037037037037033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</row>
    <row r="17" spans="1:27" ht="15.75" customHeight="1" x14ac:dyDescent="0.2"/>
    <row r="18" spans="1:27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">
      <c r="A19" s="3" t="s">
        <v>24</v>
      </c>
      <c r="B19" s="3" t="s">
        <v>29</v>
      </c>
      <c r="C19" s="1" t="s">
        <v>26</v>
      </c>
      <c r="D19" s="3" t="s">
        <v>43</v>
      </c>
      <c r="E19" s="1">
        <v>21</v>
      </c>
      <c r="F19" s="1">
        <v>0</v>
      </c>
      <c r="G19" s="3">
        <v>13</v>
      </c>
      <c r="H19" s="3">
        <v>3</v>
      </c>
      <c r="I19" s="3">
        <v>0</v>
      </c>
      <c r="J19" s="3">
        <v>2</v>
      </c>
      <c r="K19" s="3">
        <v>0</v>
      </c>
      <c r="L19" s="3">
        <v>0</v>
      </c>
      <c r="M19" s="3">
        <v>0</v>
      </c>
      <c r="N19" s="3">
        <v>5</v>
      </c>
      <c r="O19" s="3">
        <v>0</v>
      </c>
      <c r="P19" s="3">
        <v>64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1">
        <f t="shared" ref="V19:V32" si="1">SUM(E19:U19)</f>
        <v>108</v>
      </c>
      <c r="W19" s="1">
        <v>108</v>
      </c>
    </row>
    <row r="20" spans="1:27" ht="15.75" customHeight="1" x14ac:dyDescent="0.2">
      <c r="A20" s="3" t="s">
        <v>24</v>
      </c>
      <c r="B20" s="3" t="s">
        <v>29</v>
      </c>
      <c r="C20" s="1" t="s">
        <v>26</v>
      </c>
      <c r="D20" s="3" t="s">
        <v>44</v>
      </c>
      <c r="E20" s="1">
        <v>9</v>
      </c>
      <c r="F20" s="1">
        <v>0</v>
      </c>
      <c r="G20" s="3">
        <v>6</v>
      </c>
      <c r="H20" s="3">
        <v>22</v>
      </c>
      <c r="I20" s="3">
        <v>0</v>
      </c>
      <c r="J20" s="3">
        <v>0</v>
      </c>
      <c r="K20" s="3">
        <v>1</v>
      </c>
      <c r="L20" s="3">
        <v>10</v>
      </c>
      <c r="M20" s="3">
        <v>0</v>
      </c>
      <c r="N20" s="3">
        <v>2</v>
      </c>
      <c r="O20" s="3">
        <v>0</v>
      </c>
      <c r="P20" s="3">
        <v>124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1">
        <f t="shared" si="1"/>
        <v>174</v>
      </c>
      <c r="W20" s="1">
        <v>174</v>
      </c>
    </row>
    <row r="21" spans="1:27" ht="15.75" customHeight="1" x14ac:dyDescent="0.2">
      <c r="A21" s="3" t="s">
        <v>24</v>
      </c>
      <c r="B21" s="3" t="s">
        <v>29</v>
      </c>
      <c r="C21" s="1" t="s">
        <v>26</v>
      </c>
      <c r="D21" s="3" t="s">
        <v>45</v>
      </c>
      <c r="E21" s="1">
        <v>22</v>
      </c>
      <c r="F21" s="1">
        <v>0</v>
      </c>
      <c r="G21" s="3">
        <v>14</v>
      </c>
      <c r="H21" s="3">
        <v>75</v>
      </c>
      <c r="I21" s="3">
        <v>0</v>
      </c>
      <c r="J21" s="3">
        <v>2</v>
      </c>
      <c r="K21" s="3">
        <v>0</v>
      </c>
      <c r="L21" s="3">
        <v>11</v>
      </c>
      <c r="M21" s="3">
        <v>0</v>
      </c>
      <c r="N21" s="3">
        <v>0</v>
      </c>
      <c r="O21" s="3">
        <v>0</v>
      </c>
      <c r="P21" s="3">
        <v>75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1">
        <f t="shared" si="1"/>
        <v>199</v>
      </c>
      <c r="W21" s="1">
        <v>199</v>
      </c>
    </row>
    <row r="22" spans="1:27" ht="15.75" customHeight="1" x14ac:dyDescent="0.2">
      <c r="A22" s="3" t="s">
        <v>24</v>
      </c>
      <c r="B22" s="3" t="s">
        <v>29</v>
      </c>
      <c r="C22" s="1" t="s">
        <v>26</v>
      </c>
      <c r="D22" s="3" t="s">
        <v>46</v>
      </c>
      <c r="E22" s="1">
        <v>29</v>
      </c>
      <c r="F22" s="1">
        <v>0</v>
      </c>
      <c r="G22" s="3">
        <v>4</v>
      </c>
      <c r="H22" s="3">
        <v>69</v>
      </c>
      <c r="I22" s="3">
        <v>0</v>
      </c>
      <c r="J22" s="3">
        <v>0</v>
      </c>
      <c r="K22" s="3">
        <v>0</v>
      </c>
      <c r="L22" s="3">
        <v>6</v>
      </c>
      <c r="M22" s="3">
        <v>0</v>
      </c>
      <c r="N22" s="3">
        <v>3</v>
      </c>
      <c r="O22" s="3">
        <v>0</v>
      </c>
      <c r="P22" s="3">
        <v>29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1">
        <f t="shared" si="1"/>
        <v>140</v>
      </c>
      <c r="W22" s="1">
        <v>140</v>
      </c>
    </row>
    <row r="23" spans="1:27" ht="15.75" customHeight="1" x14ac:dyDescent="0.2">
      <c r="A23" s="3" t="s">
        <v>24</v>
      </c>
      <c r="B23" s="3" t="s">
        <v>25</v>
      </c>
      <c r="C23" s="1" t="s">
        <v>26</v>
      </c>
      <c r="D23" s="3" t="s">
        <v>27</v>
      </c>
      <c r="E23" s="1">
        <v>44</v>
      </c>
      <c r="F23" s="1">
        <v>0</v>
      </c>
      <c r="G23" s="3">
        <v>0</v>
      </c>
      <c r="H23" s="3">
        <v>39</v>
      </c>
      <c r="I23" s="3">
        <v>0</v>
      </c>
      <c r="J23" s="3">
        <v>7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18</v>
      </c>
      <c r="Q23" s="3">
        <v>0</v>
      </c>
      <c r="R23" s="3">
        <v>0</v>
      </c>
      <c r="S23" s="3">
        <v>0</v>
      </c>
      <c r="T23" s="3">
        <v>0</v>
      </c>
      <c r="U23" s="3">
        <v>127</v>
      </c>
      <c r="V23" s="1">
        <f t="shared" si="1"/>
        <v>235</v>
      </c>
      <c r="W23" s="1">
        <v>235</v>
      </c>
    </row>
    <row r="24" spans="1:27" ht="15.75" customHeight="1" x14ac:dyDescent="0.2">
      <c r="A24" s="3" t="s">
        <v>24</v>
      </c>
      <c r="B24" s="3" t="s">
        <v>25</v>
      </c>
      <c r="C24" s="1" t="s">
        <v>26</v>
      </c>
      <c r="D24" s="3" t="s">
        <v>28</v>
      </c>
      <c r="E24" s="1">
        <v>16</v>
      </c>
      <c r="F24" s="1">
        <v>0</v>
      </c>
      <c r="G24" s="1">
        <v>6</v>
      </c>
      <c r="H24" s="1">
        <v>32</v>
      </c>
      <c r="I24" s="1">
        <v>0</v>
      </c>
      <c r="J24" s="1">
        <v>0</v>
      </c>
      <c r="K24" s="1">
        <v>0</v>
      </c>
      <c r="L24" s="1">
        <v>3</v>
      </c>
      <c r="M24" s="1">
        <v>0</v>
      </c>
      <c r="N24" s="1">
        <v>0</v>
      </c>
      <c r="O24" s="1">
        <v>0</v>
      </c>
      <c r="P24" s="1">
        <v>19</v>
      </c>
      <c r="Q24" s="1">
        <v>0</v>
      </c>
      <c r="R24" s="1">
        <v>0</v>
      </c>
      <c r="S24" s="1">
        <v>37</v>
      </c>
      <c r="T24" s="1">
        <v>39</v>
      </c>
      <c r="U24" s="1">
        <v>0</v>
      </c>
      <c r="V24" s="1">
        <f t="shared" si="1"/>
        <v>152</v>
      </c>
      <c r="W24" s="1">
        <v>113</v>
      </c>
    </row>
    <row r="25" spans="1:27" ht="15.75" customHeight="1" x14ac:dyDescent="0.2">
      <c r="A25" s="3" t="s">
        <v>32</v>
      </c>
      <c r="B25" s="3" t="s">
        <v>25</v>
      </c>
      <c r="C25" s="1" t="s">
        <v>26</v>
      </c>
      <c r="D25" s="1" t="s">
        <v>33</v>
      </c>
      <c r="E25" s="1">
        <v>15</v>
      </c>
      <c r="F25" s="1">
        <f>24/96*100</f>
        <v>25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56</v>
      </c>
      <c r="U25" s="3">
        <v>0</v>
      </c>
      <c r="V25" s="1">
        <f t="shared" si="1"/>
        <v>96</v>
      </c>
      <c r="W25" s="1">
        <v>96</v>
      </c>
    </row>
    <row r="26" spans="1:27" ht="15.75" customHeight="1" x14ac:dyDescent="0.2">
      <c r="A26" s="3" t="s">
        <v>32</v>
      </c>
      <c r="B26" s="3" t="s">
        <v>25</v>
      </c>
      <c r="C26" s="1" t="s">
        <v>26</v>
      </c>
      <c r="D26" s="1" t="s">
        <v>34</v>
      </c>
      <c r="E26" s="1">
        <f>17/107*100</f>
        <v>15.887850467289718</v>
      </c>
      <c r="F26" s="1">
        <f>11/107*100</f>
        <v>10.2803738317757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1">
        <f t="shared" si="1"/>
        <v>26.168224299065418</v>
      </c>
    </row>
    <row r="27" spans="1:27" ht="15.75" customHeight="1" x14ac:dyDescent="0.2">
      <c r="A27" s="3" t="s">
        <v>32</v>
      </c>
      <c r="B27" s="3" t="s">
        <v>25</v>
      </c>
      <c r="C27" s="1" t="s">
        <v>26</v>
      </c>
      <c r="D27" s="1" t="s">
        <v>35</v>
      </c>
      <c r="E27" s="1">
        <f>10/98*100</f>
        <v>10.204081632653061</v>
      </c>
      <c r="F27" s="1">
        <f>19/98*100</f>
        <v>19.387755102040817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1">
        <f t="shared" si="1"/>
        <v>29.591836734693878</v>
      </c>
    </row>
    <row r="28" spans="1:27" ht="15.75" customHeight="1" x14ac:dyDescent="0.2">
      <c r="A28" s="3" t="s">
        <v>32</v>
      </c>
      <c r="B28" s="3" t="s">
        <v>29</v>
      </c>
      <c r="C28" s="1" t="s">
        <v>26</v>
      </c>
      <c r="D28" s="1" t="s">
        <v>34</v>
      </c>
      <c r="E28" s="1">
        <v>17</v>
      </c>
      <c r="F28" s="1">
        <v>11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79</v>
      </c>
      <c r="U28" s="3">
        <v>0</v>
      </c>
      <c r="V28" s="1">
        <f t="shared" si="1"/>
        <v>107</v>
      </c>
      <c r="W28" s="1">
        <v>107</v>
      </c>
    </row>
    <row r="29" spans="1:27" ht="15.75" customHeight="1" x14ac:dyDescent="0.2">
      <c r="A29" s="3" t="s">
        <v>32</v>
      </c>
      <c r="B29" s="3" t="s">
        <v>29</v>
      </c>
      <c r="C29" s="1" t="s">
        <v>26</v>
      </c>
      <c r="D29" s="1" t="s">
        <v>36</v>
      </c>
      <c r="E29" s="1">
        <v>13</v>
      </c>
      <c r="F29" s="1">
        <v>5</v>
      </c>
      <c r="G29" s="3">
        <v>0</v>
      </c>
      <c r="H29" s="3">
        <v>0</v>
      </c>
      <c r="I29" s="3">
        <v>0</v>
      </c>
      <c r="J29" s="1">
        <v>8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1">
        <v>28</v>
      </c>
      <c r="Q29" s="3">
        <v>0</v>
      </c>
      <c r="R29" s="3">
        <v>0</v>
      </c>
      <c r="S29" s="3">
        <v>0</v>
      </c>
      <c r="T29" s="3">
        <v>30</v>
      </c>
      <c r="U29" s="3">
        <v>0</v>
      </c>
      <c r="V29" s="1">
        <f t="shared" si="1"/>
        <v>84</v>
      </c>
      <c r="W29" s="1">
        <v>84</v>
      </c>
    </row>
    <row r="30" spans="1:27" ht="15.75" customHeight="1" x14ac:dyDescent="0.2">
      <c r="A30" s="3" t="s">
        <v>32</v>
      </c>
      <c r="B30" s="3" t="s">
        <v>29</v>
      </c>
      <c r="C30" s="1" t="s">
        <v>26</v>
      </c>
      <c r="D30" s="1" t="s">
        <v>37</v>
      </c>
      <c r="E30" s="1">
        <v>15</v>
      </c>
      <c r="F30" s="1">
        <v>1</v>
      </c>
      <c r="G30" s="3">
        <v>0</v>
      </c>
      <c r="H30" s="3">
        <v>0</v>
      </c>
      <c r="I30" s="3">
        <v>0</v>
      </c>
      <c r="J30" s="1">
        <v>5</v>
      </c>
      <c r="K30" s="3">
        <v>0</v>
      </c>
      <c r="L30" s="3">
        <v>0</v>
      </c>
      <c r="M30" s="3">
        <v>0</v>
      </c>
      <c r="N30" s="3">
        <v>3</v>
      </c>
      <c r="O30" s="3">
        <v>0</v>
      </c>
      <c r="P30" s="1">
        <v>13</v>
      </c>
      <c r="Q30" s="3">
        <v>0</v>
      </c>
      <c r="R30" s="3">
        <v>0</v>
      </c>
      <c r="S30" s="3">
        <v>0</v>
      </c>
      <c r="T30" s="3">
        <v>38</v>
      </c>
      <c r="U30" s="3">
        <v>0</v>
      </c>
      <c r="V30" s="1">
        <f t="shared" si="1"/>
        <v>75</v>
      </c>
      <c r="W30" s="1">
        <v>75</v>
      </c>
    </row>
    <row r="31" spans="1:27" ht="15.75" customHeight="1" x14ac:dyDescent="0.2">
      <c r="A31" s="3" t="s">
        <v>32</v>
      </c>
      <c r="B31" s="3" t="s">
        <v>29</v>
      </c>
      <c r="C31" s="1" t="s">
        <v>26</v>
      </c>
      <c r="D31" s="1" t="s">
        <v>47</v>
      </c>
      <c r="E31" s="1">
        <v>37</v>
      </c>
      <c r="F31" s="1">
        <v>32</v>
      </c>
      <c r="G31" s="3">
        <v>0</v>
      </c>
      <c r="H31" s="3">
        <v>20</v>
      </c>
      <c r="I31" s="3">
        <v>0</v>
      </c>
      <c r="J31" s="3">
        <v>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39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1">
        <f t="shared" si="1"/>
        <v>130</v>
      </c>
      <c r="W31" s="1">
        <v>130</v>
      </c>
    </row>
    <row r="32" spans="1:27" ht="15.75" customHeight="1" x14ac:dyDescent="0.2">
      <c r="A32" s="3" t="s">
        <v>48</v>
      </c>
      <c r="B32" s="3" t="s">
        <v>25</v>
      </c>
      <c r="C32" s="1" t="s">
        <v>26</v>
      </c>
      <c r="D32" s="1" t="s">
        <v>49</v>
      </c>
      <c r="E32" s="1">
        <f>12/W32*100</f>
        <v>10</v>
      </c>
      <c r="F32" s="1">
        <f>0/W32*100</f>
        <v>0</v>
      </c>
      <c r="G32" s="3">
        <f>21/W32*100</f>
        <v>17.5</v>
      </c>
      <c r="H32" s="3">
        <f>43/W32*100</f>
        <v>35.833333333333336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f>44/W32*100</f>
        <v>36.666666666666664</v>
      </c>
      <c r="Q32" s="3">
        <v>0</v>
      </c>
      <c r="R32" s="3">
        <v>0</v>
      </c>
      <c r="S32" s="3">
        <v>6</v>
      </c>
      <c r="T32" s="3">
        <v>0</v>
      </c>
      <c r="U32" s="3">
        <v>0</v>
      </c>
      <c r="V32" s="1">
        <f t="shared" si="1"/>
        <v>106</v>
      </c>
      <c r="W32" s="1">
        <v>120</v>
      </c>
    </row>
    <row r="33" spans="1:27" ht="15.75" customHeight="1" x14ac:dyDescent="0.2">
      <c r="A33" s="3" t="s">
        <v>48</v>
      </c>
      <c r="B33" s="3" t="s">
        <v>25</v>
      </c>
      <c r="C33" s="1" t="s">
        <v>26</v>
      </c>
      <c r="D33" s="1" t="s">
        <v>50</v>
      </c>
      <c r="E33" s="1">
        <f>21/98*100</f>
        <v>21.428571428571427</v>
      </c>
      <c r="F33" s="1">
        <v>0</v>
      </c>
      <c r="G33" s="3">
        <f>6/98*100</f>
        <v>6.1224489795918364</v>
      </c>
      <c r="H33" s="1">
        <f>35/98*100</f>
        <v>35.714285714285715</v>
      </c>
      <c r="I33" s="3">
        <v>0</v>
      </c>
      <c r="J33" s="3">
        <v>0</v>
      </c>
      <c r="K33" s="3">
        <v>0</v>
      </c>
      <c r="L33" s="3">
        <v>0</v>
      </c>
      <c r="M33" s="1">
        <f>1/98*100</f>
        <v>1.0204081632653061</v>
      </c>
      <c r="N33" s="3">
        <v>0</v>
      </c>
      <c r="O33" s="3">
        <v>0</v>
      </c>
      <c r="P33" s="1">
        <f>36/98*100</f>
        <v>36.734693877551024</v>
      </c>
      <c r="Q33" s="3">
        <v>0</v>
      </c>
      <c r="R33" s="3">
        <v>0</v>
      </c>
      <c r="S33" s="3">
        <v>6</v>
      </c>
      <c r="T33" s="3">
        <v>0</v>
      </c>
      <c r="U33" s="3">
        <v>0</v>
      </c>
      <c r="V33" s="1">
        <f>SUM(E33:R33)</f>
        <v>101.0204081632653</v>
      </c>
      <c r="W33" s="1">
        <v>98</v>
      </c>
    </row>
    <row r="34" spans="1:27" ht="15.75" customHeight="1" x14ac:dyDescent="0.2">
      <c r="A34" s="3" t="s">
        <v>48</v>
      </c>
      <c r="B34" s="3" t="s">
        <v>25</v>
      </c>
      <c r="C34" s="1" t="s">
        <v>26</v>
      </c>
      <c r="D34" s="1" t="s">
        <v>51</v>
      </c>
      <c r="E34" s="1">
        <v>7</v>
      </c>
      <c r="F34" s="1">
        <v>0</v>
      </c>
      <c r="G34" s="3">
        <v>20</v>
      </c>
      <c r="H34" s="3">
        <v>42</v>
      </c>
      <c r="I34" s="3">
        <v>0</v>
      </c>
      <c r="J34" s="3">
        <v>0</v>
      </c>
      <c r="K34" s="3">
        <v>0</v>
      </c>
      <c r="L34" s="3">
        <v>2</v>
      </c>
      <c r="M34" s="3">
        <v>0</v>
      </c>
      <c r="N34" s="3">
        <v>0</v>
      </c>
      <c r="O34" s="3">
        <v>0</v>
      </c>
      <c r="P34" s="3">
        <v>15</v>
      </c>
      <c r="Q34" s="3">
        <v>0</v>
      </c>
      <c r="R34" s="3">
        <v>0</v>
      </c>
      <c r="S34" s="3">
        <v>19</v>
      </c>
      <c r="T34" s="3">
        <v>0</v>
      </c>
      <c r="U34" s="3">
        <v>0</v>
      </c>
      <c r="V34" s="3">
        <v>104</v>
      </c>
      <c r="W34" s="1">
        <f>104-19</f>
        <v>85</v>
      </c>
    </row>
    <row r="35" spans="1:27" ht="15.75" customHeight="1" x14ac:dyDescent="0.2">
      <c r="A35" s="3" t="s">
        <v>48</v>
      </c>
      <c r="B35" s="3" t="s">
        <v>29</v>
      </c>
      <c r="C35" s="1" t="s">
        <v>26</v>
      </c>
      <c r="D35" s="1" t="s">
        <v>52</v>
      </c>
      <c r="E35" s="1">
        <v>8</v>
      </c>
      <c r="F35" s="1">
        <v>0</v>
      </c>
      <c r="G35" s="3">
        <v>31</v>
      </c>
      <c r="H35" s="3">
        <v>17</v>
      </c>
      <c r="I35" s="3">
        <v>0</v>
      </c>
      <c r="J35" s="3">
        <v>0</v>
      </c>
      <c r="K35" s="3">
        <v>0</v>
      </c>
      <c r="L35" s="3">
        <v>17</v>
      </c>
      <c r="M35" s="3">
        <v>0</v>
      </c>
      <c r="N35" s="3">
        <v>0</v>
      </c>
      <c r="O35" s="3">
        <v>0</v>
      </c>
      <c r="P35" s="3">
        <v>61</v>
      </c>
      <c r="Q35" s="1">
        <v>0</v>
      </c>
      <c r="R35" s="3">
        <v>0</v>
      </c>
      <c r="S35" s="3">
        <v>91</v>
      </c>
      <c r="T35" s="3">
        <v>0</v>
      </c>
      <c r="U35" s="3">
        <v>9</v>
      </c>
      <c r="V35" s="3">
        <f t="shared" ref="V35:V44" si="2">SUM(E35:U35)</f>
        <v>234</v>
      </c>
      <c r="W35" s="1">
        <f>234-91</f>
        <v>143</v>
      </c>
    </row>
    <row r="36" spans="1:27" ht="15.75" customHeight="1" x14ac:dyDescent="0.2">
      <c r="A36" s="3" t="s">
        <v>48</v>
      </c>
      <c r="B36" s="3" t="s">
        <v>29</v>
      </c>
      <c r="C36" s="1" t="s">
        <v>26</v>
      </c>
      <c r="D36" s="1" t="s">
        <v>53</v>
      </c>
      <c r="E36" s="1">
        <v>20</v>
      </c>
      <c r="F36" s="1">
        <v>0</v>
      </c>
      <c r="G36" s="3">
        <v>26</v>
      </c>
      <c r="H36" s="3">
        <v>10</v>
      </c>
      <c r="I36" s="3">
        <v>0</v>
      </c>
      <c r="J36" s="3">
        <v>1</v>
      </c>
      <c r="K36" s="3">
        <v>0</v>
      </c>
      <c r="L36" s="3">
        <v>8</v>
      </c>
      <c r="M36" s="3">
        <v>0</v>
      </c>
      <c r="N36" s="3">
        <v>0</v>
      </c>
      <c r="O36" s="3">
        <v>0</v>
      </c>
      <c r="P36" s="3">
        <v>28</v>
      </c>
      <c r="Q36" s="3">
        <v>0</v>
      </c>
      <c r="R36" s="3">
        <v>0</v>
      </c>
      <c r="S36" s="3">
        <v>48</v>
      </c>
      <c r="T36" s="3">
        <v>0</v>
      </c>
      <c r="U36" s="3">
        <v>3</v>
      </c>
      <c r="V36" s="3">
        <f t="shared" si="2"/>
        <v>144</v>
      </c>
      <c r="W36" s="1">
        <f>144-48</f>
        <v>96</v>
      </c>
    </row>
    <row r="37" spans="1:27" ht="15.75" customHeight="1" x14ac:dyDescent="0.2">
      <c r="A37" s="3" t="s">
        <v>48</v>
      </c>
      <c r="B37" s="3" t="s">
        <v>29</v>
      </c>
      <c r="C37" s="1" t="s">
        <v>26</v>
      </c>
      <c r="D37" s="1" t="s">
        <v>54</v>
      </c>
      <c r="E37" s="1">
        <v>19</v>
      </c>
      <c r="F37" s="1">
        <v>7</v>
      </c>
      <c r="G37" s="3">
        <v>31</v>
      </c>
      <c r="H37" s="3">
        <v>9</v>
      </c>
      <c r="I37" s="3">
        <v>0</v>
      </c>
      <c r="J37" s="3">
        <v>0</v>
      </c>
      <c r="K37" s="3">
        <v>0</v>
      </c>
      <c r="L37" s="3">
        <v>4</v>
      </c>
      <c r="M37" s="3">
        <v>0</v>
      </c>
      <c r="N37" s="3">
        <v>0</v>
      </c>
      <c r="O37" s="3">
        <v>0</v>
      </c>
      <c r="P37" s="3">
        <v>58</v>
      </c>
      <c r="Q37" s="3">
        <v>0</v>
      </c>
      <c r="R37" s="3">
        <v>0</v>
      </c>
      <c r="S37" s="3">
        <v>52</v>
      </c>
      <c r="T37" s="3">
        <v>0</v>
      </c>
      <c r="U37" s="3">
        <v>0</v>
      </c>
      <c r="V37" s="3">
        <f t="shared" si="2"/>
        <v>180</v>
      </c>
      <c r="W37" s="1">
        <f>180-52</f>
        <v>128</v>
      </c>
    </row>
    <row r="38" spans="1:27" ht="15.75" customHeight="1" x14ac:dyDescent="0.2">
      <c r="A38" s="3" t="s">
        <v>48</v>
      </c>
      <c r="B38" s="3" t="s">
        <v>29</v>
      </c>
      <c r="C38" s="1" t="s">
        <v>26</v>
      </c>
      <c r="D38" s="1" t="s">
        <v>55</v>
      </c>
      <c r="E38" s="1">
        <v>11</v>
      </c>
      <c r="F38" s="1">
        <v>10</v>
      </c>
      <c r="G38" s="3">
        <v>38</v>
      </c>
      <c r="H38" s="3">
        <v>9</v>
      </c>
      <c r="I38" s="3">
        <v>0</v>
      </c>
      <c r="J38" s="3">
        <v>2</v>
      </c>
      <c r="K38" s="3">
        <v>0</v>
      </c>
      <c r="L38" s="3">
        <v>14</v>
      </c>
      <c r="M38" s="3">
        <v>0</v>
      </c>
      <c r="N38" s="3">
        <v>3</v>
      </c>
      <c r="O38" s="3">
        <v>0</v>
      </c>
      <c r="P38" s="3">
        <v>59</v>
      </c>
      <c r="Q38" s="3">
        <v>0</v>
      </c>
      <c r="R38" s="3">
        <v>0</v>
      </c>
      <c r="S38" s="3">
        <v>52</v>
      </c>
      <c r="T38" s="3">
        <v>0</v>
      </c>
      <c r="U38" s="3">
        <v>0</v>
      </c>
      <c r="V38" s="3">
        <f t="shared" si="2"/>
        <v>198</v>
      </c>
      <c r="W38" s="3">
        <v>146</v>
      </c>
    </row>
    <row r="39" spans="1:27" ht="15.75" customHeight="1" x14ac:dyDescent="0.2">
      <c r="A39" s="3" t="s">
        <v>48</v>
      </c>
      <c r="B39" s="3" t="s">
        <v>29</v>
      </c>
      <c r="C39" s="1" t="s">
        <v>26</v>
      </c>
      <c r="D39" s="1" t="s">
        <v>56</v>
      </c>
      <c r="E39" s="1">
        <v>23</v>
      </c>
      <c r="F39" s="1">
        <v>0</v>
      </c>
      <c r="G39" s="3">
        <v>34</v>
      </c>
      <c r="H39" s="3">
        <v>9</v>
      </c>
      <c r="I39" s="3">
        <v>0</v>
      </c>
      <c r="J39" s="3">
        <v>1</v>
      </c>
      <c r="K39" s="3">
        <v>0</v>
      </c>
      <c r="L39" s="3">
        <v>23</v>
      </c>
      <c r="M39" s="3">
        <v>0</v>
      </c>
      <c r="N39" s="3">
        <v>1</v>
      </c>
      <c r="O39" s="3">
        <v>0</v>
      </c>
      <c r="P39" s="3">
        <v>84</v>
      </c>
      <c r="Q39" s="3">
        <v>0</v>
      </c>
      <c r="R39" s="3">
        <v>0</v>
      </c>
      <c r="S39" s="3">
        <v>93</v>
      </c>
      <c r="T39" s="3">
        <v>0</v>
      </c>
      <c r="U39" s="3">
        <v>0</v>
      </c>
      <c r="V39" s="3">
        <f t="shared" si="2"/>
        <v>268</v>
      </c>
      <c r="W39" s="1">
        <f>268-93</f>
        <v>175</v>
      </c>
    </row>
    <row r="40" spans="1:27" ht="15.75" customHeight="1" x14ac:dyDescent="0.2">
      <c r="A40" s="3" t="s">
        <v>48</v>
      </c>
      <c r="B40" s="3" t="s">
        <v>29</v>
      </c>
      <c r="C40" s="1" t="s">
        <v>26</v>
      </c>
      <c r="D40" s="1" t="s">
        <v>57</v>
      </c>
      <c r="E40" s="1">
        <v>30</v>
      </c>
      <c r="F40" s="1">
        <v>3</v>
      </c>
      <c r="G40" s="3">
        <v>42</v>
      </c>
      <c r="H40" s="3">
        <v>5</v>
      </c>
      <c r="I40" s="3">
        <v>0</v>
      </c>
      <c r="J40" s="3">
        <v>0</v>
      </c>
      <c r="K40" s="3">
        <v>0</v>
      </c>
      <c r="L40" s="3">
        <v>15</v>
      </c>
      <c r="M40" s="3">
        <v>0</v>
      </c>
      <c r="N40" s="3">
        <v>2</v>
      </c>
      <c r="O40" s="3">
        <v>0</v>
      </c>
      <c r="P40" s="3">
        <v>88</v>
      </c>
      <c r="Q40" s="3">
        <v>0</v>
      </c>
      <c r="R40" s="3">
        <v>0</v>
      </c>
      <c r="S40" s="3">
        <v>81</v>
      </c>
      <c r="T40" s="3">
        <v>0</v>
      </c>
      <c r="U40" s="3">
        <v>0</v>
      </c>
      <c r="V40" s="3">
        <f t="shared" si="2"/>
        <v>266</v>
      </c>
      <c r="W40" s="1">
        <f>266-81</f>
        <v>185</v>
      </c>
    </row>
    <row r="41" spans="1:27" ht="15.75" customHeight="1" x14ac:dyDescent="0.2">
      <c r="A41" s="3" t="s">
        <v>58</v>
      </c>
      <c r="B41" s="3" t="s">
        <v>25</v>
      </c>
      <c r="C41" s="1" t="s">
        <v>59</v>
      </c>
      <c r="D41" s="1" t="s">
        <v>60</v>
      </c>
      <c r="E41" s="1">
        <v>39</v>
      </c>
      <c r="F41" s="1">
        <v>6</v>
      </c>
      <c r="G41" s="3">
        <v>6</v>
      </c>
      <c r="H41" s="3">
        <v>16</v>
      </c>
      <c r="I41" s="3">
        <v>0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>
        <v>26</v>
      </c>
      <c r="P41" s="3">
        <v>5</v>
      </c>
      <c r="Q41" s="3">
        <v>0</v>
      </c>
      <c r="R41" s="3">
        <v>0</v>
      </c>
      <c r="S41" s="3">
        <v>3</v>
      </c>
      <c r="T41" s="3">
        <v>0</v>
      </c>
      <c r="U41" s="3">
        <v>0</v>
      </c>
      <c r="V41" s="3">
        <f t="shared" si="2"/>
        <v>102</v>
      </c>
      <c r="W41" s="1">
        <v>123</v>
      </c>
    </row>
    <row r="42" spans="1:27" ht="15.75" customHeight="1" x14ac:dyDescent="0.2">
      <c r="A42" s="3" t="s">
        <v>58</v>
      </c>
      <c r="B42" s="3" t="s">
        <v>25</v>
      </c>
      <c r="C42" s="1" t="s">
        <v>59</v>
      </c>
      <c r="D42" s="1" t="s">
        <v>61</v>
      </c>
      <c r="E42" s="1">
        <v>20</v>
      </c>
      <c r="F42" s="1">
        <v>4</v>
      </c>
      <c r="G42" s="3">
        <v>20</v>
      </c>
      <c r="H42" s="3">
        <v>8</v>
      </c>
      <c r="I42" s="3">
        <v>0</v>
      </c>
      <c r="J42" s="3">
        <v>0</v>
      </c>
      <c r="K42" s="3">
        <v>0</v>
      </c>
      <c r="L42" s="3">
        <v>0</v>
      </c>
      <c r="M42" s="3">
        <v>10</v>
      </c>
      <c r="N42" s="3">
        <v>0</v>
      </c>
      <c r="O42" s="3">
        <v>58</v>
      </c>
      <c r="P42" s="3">
        <v>13</v>
      </c>
      <c r="Q42" s="3">
        <v>0</v>
      </c>
      <c r="R42" s="3">
        <v>3</v>
      </c>
      <c r="S42" s="3">
        <v>5</v>
      </c>
      <c r="T42" s="3">
        <v>0</v>
      </c>
      <c r="U42" s="3">
        <v>0</v>
      </c>
      <c r="V42" s="3">
        <f t="shared" si="2"/>
        <v>141</v>
      </c>
      <c r="W42" s="3">
        <v>145</v>
      </c>
    </row>
    <row r="43" spans="1:27" ht="15.75" customHeight="1" x14ac:dyDescent="0.2">
      <c r="A43" s="3" t="s">
        <v>58</v>
      </c>
      <c r="B43" s="3" t="s">
        <v>25</v>
      </c>
      <c r="C43" s="1" t="s">
        <v>59</v>
      </c>
      <c r="D43" s="1" t="s">
        <v>62</v>
      </c>
      <c r="E43" s="1">
        <v>5</v>
      </c>
      <c r="F43" s="1">
        <v>2</v>
      </c>
      <c r="G43" s="3">
        <v>12</v>
      </c>
      <c r="H43" s="3">
        <v>8</v>
      </c>
      <c r="I43" s="3">
        <v>0</v>
      </c>
      <c r="J43" s="3">
        <v>0</v>
      </c>
      <c r="K43" s="3">
        <v>0</v>
      </c>
      <c r="L43" s="3">
        <v>0</v>
      </c>
      <c r="M43" s="3">
        <v>7</v>
      </c>
      <c r="N43" s="3">
        <v>0</v>
      </c>
      <c r="O43" s="3">
        <v>74</v>
      </c>
      <c r="P43" s="3">
        <v>5</v>
      </c>
      <c r="Q43" s="3">
        <v>0</v>
      </c>
      <c r="R43" s="3">
        <v>2</v>
      </c>
      <c r="S43" s="3">
        <v>9</v>
      </c>
      <c r="T43" s="3">
        <v>0</v>
      </c>
      <c r="U43" s="3">
        <v>0</v>
      </c>
      <c r="V43" s="3">
        <f t="shared" si="2"/>
        <v>124</v>
      </c>
      <c r="W43" s="3">
        <v>121</v>
      </c>
    </row>
    <row r="44" spans="1:27" ht="15.75" customHeight="1" x14ac:dyDescent="0.2">
      <c r="A44" s="3" t="s">
        <v>58</v>
      </c>
      <c r="B44" s="3" t="s">
        <v>25</v>
      </c>
      <c r="C44" s="1" t="s">
        <v>59</v>
      </c>
      <c r="D44" s="1" t="s">
        <v>63</v>
      </c>
      <c r="E44" s="1">
        <v>2</v>
      </c>
      <c r="F44" s="1">
        <v>1</v>
      </c>
      <c r="G44" s="3">
        <v>16</v>
      </c>
      <c r="H44" s="3">
        <v>8</v>
      </c>
      <c r="I44" s="3">
        <v>0</v>
      </c>
      <c r="J44" s="3">
        <v>0</v>
      </c>
      <c r="K44" s="3">
        <v>0</v>
      </c>
      <c r="L44" s="3">
        <v>0</v>
      </c>
      <c r="M44" s="3">
        <v>4</v>
      </c>
      <c r="N44" s="3">
        <v>0</v>
      </c>
      <c r="O44" s="3">
        <v>77</v>
      </c>
      <c r="P44" s="3">
        <v>17</v>
      </c>
      <c r="Q44" s="3">
        <v>0</v>
      </c>
      <c r="R44" s="3">
        <v>4</v>
      </c>
      <c r="S44" s="3">
        <v>7</v>
      </c>
      <c r="T44" s="3">
        <v>0</v>
      </c>
      <c r="U44" s="3">
        <v>0</v>
      </c>
      <c r="V44" s="3">
        <f t="shared" si="2"/>
        <v>136</v>
      </c>
      <c r="W44" s="3">
        <v>133</v>
      </c>
    </row>
    <row r="45" spans="1:27" ht="15.75" customHeight="1" x14ac:dyDescent="0.2">
      <c r="A45" s="3"/>
      <c r="B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7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">
      <c r="A47" s="3" t="s">
        <v>24</v>
      </c>
      <c r="B47" s="3" t="s">
        <v>29</v>
      </c>
      <c r="C47" s="1" t="s">
        <v>26</v>
      </c>
      <c r="D47" s="3" t="s">
        <v>43</v>
      </c>
      <c r="E47" s="1">
        <f t="shared" ref="E47:V47" si="3">E19/108*100</f>
        <v>19.444444444444446</v>
      </c>
      <c r="F47" s="1">
        <f t="shared" si="3"/>
        <v>0</v>
      </c>
      <c r="G47" s="1">
        <f t="shared" si="3"/>
        <v>12.037037037037036</v>
      </c>
      <c r="H47" s="1">
        <f t="shared" si="3"/>
        <v>2.7777777777777777</v>
      </c>
      <c r="I47" s="1">
        <f t="shared" si="3"/>
        <v>0</v>
      </c>
      <c r="J47" s="1">
        <f t="shared" si="3"/>
        <v>1.8518518518518516</v>
      </c>
      <c r="K47" s="1">
        <f t="shared" si="3"/>
        <v>0</v>
      </c>
      <c r="L47" s="1">
        <f t="shared" si="3"/>
        <v>0</v>
      </c>
      <c r="M47" s="1">
        <f t="shared" si="3"/>
        <v>0</v>
      </c>
      <c r="N47" s="1">
        <f t="shared" si="3"/>
        <v>4.6296296296296298</v>
      </c>
      <c r="O47" s="1">
        <f t="shared" si="3"/>
        <v>0</v>
      </c>
      <c r="P47" s="1">
        <f t="shared" si="3"/>
        <v>59.259259259259252</v>
      </c>
      <c r="Q47" s="1">
        <f t="shared" si="3"/>
        <v>0</v>
      </c>
      <c r="R47" s="1">
        <f t="shared" si="3"/>
        <v>0</v>
      </c>
      <c r="S47" s="1">
        <f t="shared" si="3"/>
        <v>0</v>
      </c>
      <c r="T47" s="1">
        <f t="shared" si="3"/>
        <v>0</v>
      </c>
      <c r="U47" s="1">
        <f t="shared" si="3"/>
        <v>0</v>
      </c>
      <c r="V47" s="1">
        <f t="shared" si="3"/>
        <v>100</v>
      </c>
    </row>
    <row r="48" spans="1:27" ht="15.75" customHeight="1" x14ac:dyDescent="0.2">
      <c r="A48" s="3" t="s">
        <v>24</v>
      </c>
      <c r="B48" s="3" t="s">
        <v>29</v>
      </c>
      <c r="C48" s="1" t="s">
        <v>26</v>
      </c>
      <c r="D48" s="3" t="s">
        <v>44</v>
      </c>
      <c r="E48" s="1">
        <f t="shared" ref="E48:V48" si="4">E20/174*100</f>
        <v>5.1724137931034484</v>
      </c>
      <c r="F48" s="1">
        <f t="shared" si="4"/>
        <v>0</v>
      </c>
      <c r="G48" s="1">
        <f t="shared" si="4"/>
        <v>3.4482758620689653</v>
      </c>
      <c r="H48" s="1">
        <f t="shared" si="4"/>
        <v>12.643678160919542</v>
      </c>
      <c r="I48" s="1">
        <f t="shared" si="4"/>
        <v>0</v>
      </c>
      <c r="J48" s="1">
        <f t="shared" si="4"/>
        <v>0</v>
      </c>
      <c r="K48" s="1">
        <f t="shared" si="4"/>
        <v>0.57471264367816088</v>
      </c>
      <c r="L48" s="1">
        <f t="shared" si="4"/>
        <v>5.7471264367816088</v>
      </c>
      <c r="M48" s="1">
        <f t="shared" si="4"/>
        <v>0</v>
      </c>
      <c r="N48" s="1">
        <f t="shared" si="4"/>
        <v>1.1494252873563218</v>
      </c>
      <c r="O48" s="1">
        <f t="shared" si="4"/>
        <v>0</v>
      </c>
      <c r="P48" s="1">
        <f t="shared" si="4"/>
        <v>71.264367816091962</v>
      </c>
      <c r="Q48" s="1">
        <f t="shared" si="4"/>
        <v>0</v>
      </c>
      <c r="R48" s="1">
        <f t="shared" si="4"/>
        <v>0</v>
      </c>
      <c r="S48" s="1">
        <f t="shared" si="4"/>
        <v>0</v>
      </c>
      <c r="T48" s="1">
        <f t="shared" si="4"/>
        <v>0</v>
      </c>
      <c r="U48" s="1">
        <f t="shared" si="4"/>
        <v>0</v>
      </c>
      <c r="V48" s="1">
        <f t="shared" si="4"/>
        <v>100</v>
      </c>
    </row>
    <row r="49" spans="1:22" ht="15.75" customHeight="1" x14ac:dyDescent="0.2">
      <c r="A49" s="3" t="s">
        <v>24</v>
      </c>
      <c r="B49" s="3" t="s">
        <v>29</v>
      </c>
      <c r="C49" s="1" t="s">
        <v>26</v>
      </c>
      <c r="D49" s="3" t="s">
        <v>45</v>
      </c>
      <c r="E49" s="1">
        <f t="shared" ref="E49:V49" si="5">E21/199*100</f>
        <v>11.055276381909549</v>
      </c>
      <c r="F49" s="1">
        <f t="shared" si="5"/>
        <v>0</v>
      </c>
      <c r="G49" s="1">
        <f t="shared" si="5"/>
        <v>7.0351758793969852</v>
      </c>
      <c r="H49" s="1">
        <f t="shared" si="5"/>
        <v>37.688442211055282</v>
      </c>
      <c r="I49" s="1">
        <f t="shared" si="5"/>
        <v>0</v>
      </c>
      <c r="J49" s="1">
        <f t="shared" si="5"/>
        <v>1.0050251256281406</v>
      </c>
      <c r="K49" s="1">
        <f t="shared" si="5"/>
        <v>0</v>
      </c>
      <c r="L49" s="1">
        <f t="shared" si="5"/>
        <v>5.5276381909547743</v>
      </c>
      <c r="M49" s="1">
        <f t="shared" si="5"/>
        <v>0</v>
      </c>
      <c r="N49" s="1">
        <f t="shared" si="5"/>
        <v>0</v>
      </c>
      <c r="O49" s="1">
        <f t="shared" si="5"/>
        <v>0</v>
      </c>
      <c r="P49" s="1">
        <f t="shared" si="5"/>
        <v>37.688442211055282</v>
      </c>
      <c r="Q49" s="1">
        <f t="shared" si="5"/>
        <v>0</v>
      </c>
      <c r="R49" s="1">
        <f t="shared" si="5"/>
        <v>0</v>
      </c>
      <c r="S49" s="1">
        <f t="shared" si="5"/>
        <v>0</v>
      </c>
      <c r="T49" s="1">
        <f t="shared" si="5"/>
        <v>0</v>
      </c>
      <c r="U49" s="1">
        <f t="shared" si="5"/>
        <v>0</v>
      </c>
      <c r="V49" s="1">
        <f t="shared" si="5"/>
        <v>100</v>
      </c>
    </row>
    <row r="50" spans="1:22" ht="15.75" customHeight="1" x14ac:dyDescent="0.2">
      <c r="A50" s="3" t="s">
        <v>24</v>
      </c>
      <c r="B50" s="3" t="s">
        <v>29</v>
      </c>
      <c r="C50" s="1" t="s">
        <v>26</v>
      </c>
      <c r="D50" s="3" t="s">
        <v>46</v>
      </c>
      <c r="E50" s="1">
        <f t="shared" ref="E50:V50" si="6">E22/140*100</f>
        <v>20.714285714285715</v>
      </c>
      <c r="F50" s="1">
        <f t="shared" si="6"/>
        <v>0</v>
      </c>
      <c r="G50" s="1">
        <f t="shared" si="6"/>
        <v>2.8571428571428572</v>
      </c>
      <c r="H50" s="1">
        <f t="shared" si="6"/>
        <v>49.285714285714292</v>
      </c>
      <c r="I50" s="1">
        <f t="shared" si="6"/>
        <v>0</v>
      </c>
      <c r="J50" s="1">
        <f t="shared" si="6"/>
        <v>0</v>
      </c>
      <c r="K50" s="1">
        <f t="shared" si="6"/>
        <v>0</v>
      </c>
      <c r="L50" s="1">
        <f t="shared" si="6"/>
        <v>4.2857142857142856</v>
      </c>
      <c r="M50" s="1">
        <f t="shared" si="6"/>
        <v>0</v>
      </c>
      <c r="N50" s="1">
        <f t="shared" si="6"/>
        <v>2.1428571428571428</v>
      </c>
      <c r="O50" s="1">
        <f t="shared" si="6"/>
        <v>0</v>
      </c>
      <c r="P50" s="1">
        <f t="shared" si="6"/>
        <v>20.714285714285715</v>
      </c>
      <c r="Q50" s="1">
        <f t="shared" si="6"/>
        <v>0</v>
      </c>
      <c r="R50" s="1">
        <f t="shared" si="6"/>
        <v>0</v>
      </c>
      <c r="S50" s="1">
        <f t="shared" si="6"/>
        <v>0</v>
      </c>
      <c r="T50" s="1">
        <f t="shared" si="6"/>
        <v>0</v>
      </c>
      <c r="U50" s="1">
        <f t="shared" si="6"/>
        <v>0</v>
      </c>
      <c r="V50" s="1">
        <f t="shared" si="6"/>
        <v>100</v>
      </c>
    </row>
    <row r="51" spans="1:22" ht="15.75" customHeight="1" x14ac:dyDescent="0.2">
      <c r="A51" s="3" t="s">
        <v>24</v>
      </c>
      <c r="B51" s="3" t="s">
        <v>25</v>
      </c>
      <c r="C51" s="1" t="s">
        <v>26</v>
      </c>
      <c r="D51" s="3" t="s">
        <v>27</v>
      </c>
      <c r="E51" s="1">
        <f t="shared" ref="E51:V51" si="7">E23/235*100</f>
        <v>18.723404255319149</v>
      </c>
      <c r="F51" s="1">
        <f t="shared" si="7"/>
        <v>0</v>
      </c>
      <c r="G51" s="1">
        <f t="shared" si="7"/>
        <v>0</v>
      </c>
      <c r="H51" s="1">
        <f t="shared" si="7"/>
        <v>16.595744680851062</v>
      </c>
      <c r="I51" s="1">
        <f t="shared" si="7"/>
        <v>0</v>
      </c>
      <c r="J51" s="1">
        <f t="shared" si="7"/>
        <v>2.9787234042553195</v>
      </c>
      <c r="K51" s="1">
        <f t="shared" si="7"/>
        <v>0</v>
      </c>
      <c r="L51" s="1">
        <f t="shared" si="7"/>
        <v>0</v>
      </c>
      <c r="M51" s="1">
        <f t="shared" si="7"/>
        <v>0</v>
      </c>
      <c r="N51" s="1">
        <f t="shared" si="7"/>
        <v>0</v>
      </c>
      <c r="O51" s="1">
        <f t="shared" si="7"/>
        <v>0</v>
      </c>
      <c r="P51" s="1">
        <f t="shared" si="7"/>
        <v>7.6595744680851059</v>
      </c>
      <c r="Q51" s="1">
        <f t="shared" si="7"/>
        <v>0</v>
      </c>
      <c r="R51" s="1">
        <f t="shared" si="7"/>
        <v>0</v>
      </c>
      <c r="S51" s="1">
        <f t="shared" si="7"/>
        <v>0</v>
      </c>
      <c r="T51" s="1">
        <f t="shared" si="7"/>
        <v>0</v>
      </c>
      <c r="U51" s="1">
        <f t="shared" si="7"/>
        <v>54.042553191489361</v>
      </c>
      <c r="V51" s="1">
        <f t="shared" si="7"/>
        <v>100</v>
      </c>
    </row>
    <row r="52" spans="1:22" ht="15.75" customHeight="1" x14ac:dyDescent="0.2">
      <c r="A52" s="3" t="s">
        <v>24</v>
      </c>
      <c r="B52" s="3" t="s">
        <v>25</v>
      </c>
      <c r="C52" s="1" t="s">
        <v>26</v>
      </c>
      <c r="D52" s="3" t="s">
        <v>28</v>
      </c>
      <c r="E52" s="1">
        <f>16/113*100</f>
        <v>14.159292035398231</v>
      </c>
      <c r="F52" s="1">
        <v>0</v>
      </c>
      <c r="G52" s="1">
        <f>6/113*100</f>
        <v>5.3097345132743365</v>
      </c>
      <c r="H52" s="1">
        <f>32/113*100</f>
        <v>28.318584070796462</v>
      </c>
      <c r="I52" s="1">
        <v>0</v>
      </c>
      <c r="J52" s="1">
        <v>0</v>
      </c>
      <c r="K52" s="1">
        <v>0</v>
      </c>
      <c r="L52" s="1">
        <f>3/113*100</f>
        <v>2.6548672566371683</v>
      </c>
      <c r="M52" s="1">
        <v>0</v>
      </c>
      <c r="N52" s="1">
        <v>0</v>
      </c>
      <c r="O52" s="1">
        <v>0</v>
      </c>
      <c r="P52" s="1">
        <f>19/113*100</f>
        <v>16.814159292035399</v>
      </c>
      <c r="Q52" s="1">
        <v>0</v>
      </c>
      <c r="R52" s="1">
        <v>0</v>
      </c>
      <c r="S52" s="1">
        <v>0</v>
      </c>
      <c r="T52" s="1">
        <f>39/113*100</f>
        <v>34.513274336283182</v>
      </c>
      <c r="U52" s="1">
        <v>0</v>
      </c>
      <c r="V52" s="1">
        <f t="shared" ref="V52:V54" si="8">SUM(E52:U52)</f>
        <v>101.76991150442478</v>
      </c>
    </row>
    <row r="53" spans="1:22" ht="15.75" customHeight="1" x14ac:dyDescent="0.2">
      <c r="A53" s="3" t="s">
        <v>32</v>
      </c>
      <c r="B53" s="3" t="s">
        <v>25</v>
      </c>
      <c r="C53" s="1" t="s">
        <v>26</v>
      </c>
      <c r="D53" s="1" t="s">
        <v>34</v>
      </c>
      <c r="E53" s="1">
        <f>17/107*100</f>
        <v>15.887850467289718</v>
      </c>
      <c r="F53" s="1">
        <f>11/107*100</f>
        <v>10.2803738317757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V53" s="1">
        <f t="shared" si="8"/>
        <v>26.168224299065418</v>
      </c>
    </row>
    <row r="54" spans="1:22" ht="15.75" customHeight="1" x14ac:dyDescent="0.2">
      <c r="A54" s="3" t="s">
        <v>32</v>
      </c>
      <c r="B54" s="3" t="s">
        <v>25</v>
      </c>
      <c r="C54" s="1" t="s">
        <v>26</v>
      </c>
      <c r="D54" s="1" t="s">
        <v>35</v>
      </c>
      <c r="E54" s="1">
        <f>10/98*100</f>
        <v>10.204081632653061</v>
      </c>
      <c r="F54" s="1">
        <f>19/98*100</f>
        <v>19.387755102040817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V54" s="1">
        <f t="shared" si="8"/>
        <v>29.591836734693878</v>
      </c>
    </row>
    <row r="55" spans="1:22" ht="15.75" customHeight="1" x14ac:dyDescent="0.2">
      <c r="A55" s="3" t="s">
        <v>32</v>
      </c>
      <c r="B55" s="3" t="s">
        <v>25</v>
      </c>
      <c r="C55" s="1" t="s">
        <v>26</v>
      </c>
      <c r="D55" s="1" t="s">
        <v>33</v>
      </c>
      <c r="E55" s="1">
        <f t="shared" ref="E55:V55" si="9">E25/96*100</f>
        <v>15.625</v>
      </c>
      <c r="F55" s="1">
        <f t="shared" si="9"/>
        <v>26.041666666666668</v>
      </c>
      <c r="G55" s="1">
        <f t="shared" si="9"/>
        <v>0</v>
      </c>
      <c r="H55" s="1">
        <f t="shared" si="9"/>
        <v>0</v>
      </c>
      <c r="I55" s="1">
        <f t="shared" si="9"/>
        <v>0</v>
      </c>
      <c r="J55" s="1">
        <f t="shared" si="9"/>
        <v>0</v>
      </c>
      <c r="K55" s="1">
        <f t="shared" si="9"/>
        <v>0</v>
      </c>
      <c r="L55" s="1">
        <f t="shared" si="9"/>
        <v>0</v>
      </c>
      <c r="M55" s="1">
        <f t="shared" si="9"/>
        <v>0</v>
      </c>
      <c r="N55" s="1">
        <f t="shared" si="9"/>
        <v>0</v>
      </c>
      <c r="O55" s="1">
        <f t="shared" si="9"/>
        <v>0</v>
      </c>
      <c r="P55" s="1">
        <f t="shared" si="9"/>
        <v>0</v>
      </c>
      <c r="Q55" s="1">
        <f t="shared" si="9"/>
        <v>0</v>
      </c>
      <c r="R55" s="1">
        <f t="shared" si="9"/>
        <v>0</v>
      </c>
      <c r="S55" s="1">
        <f t="shared" si="9"/>
        <v>0</v>
      </c>
      <c r="T55" s="1">
        <f t="shared" si="9"/>
        <v>58.333333333333336</v>
      </c>
      <c r="U55" s="1">
        <f t="shared" si="9"/>
        <v>0</v>
      </c>
      <c r="V55" s="1">
        <f t="shared" si="9"/>
        <v>100</v>
      </c>
    </row>
    <row r="56" spans="1:22" ht="15.75" customHeight="1" x14ac:dyDescent="0.2">
      <c r="A56" s="3" t="s">
        <v>32</v>
      </c>
      <c r="B56" s="3" t="s">
        <v>29</v>
      </c>
      <c r="C56" s="1" t="s">
        <v>26</v>
      </c>
      <c r="D56" s="1" t="s">
        <v>34</v>
      </c>
      <c r="E56" s="1">
        <f t="shared" ref="E56:V56" si="10">E28/107*100</f>
        <v>15.887850467289718</v>
      </c>
      <c r="F56" s="1">
        <f t="shared" si="10"/>
        <v>10.2803738317757</v>
      </c>
      <c r="G56" s="1">
        <f t="shared" si="10"/>
        <v>0</v>
      </c>
      <c r="H56" s="1">
        <f t="shared" si="10"/>
        <v>0</v>
      </c>
      <c r="I56" s="1">
        <f t="shared" si="10"/>
        <v>0</v>
      </c>
      <c r="J56" s="1">
        <f t="shared" si="10"/>
        <v>0</v>
      </c>
      <c r="K56" s="1">
        <f t="shared" si="10"/>
        <v>0</v>
      </c>
      <c r="L56" s="1">
        <f t="shared" si="10"/>
        <v>0</v>
      </c>
      <c r="M56" s="1">
        <f t="shared" si="10"/>
        <v>0</v>
      </c>
      <c r="N56" s="1">
        <f t="shared" si="10"/>
        <v>0</v>
      </c>
      <c r="O56" s="1">
        <f t="shared" si="10"/>
        <v>0</v>
      </c>
      <c r="P56" s="1">
        <f t="shared" si="10"/>
        <v>0</v>
      </c>
      <c r="Q56" s="1">
        <f t="shared" si="10"/>
        <v>0</v>
      </c>
      <c r="R56" s="1">
        <f t="shared" si="10"/>
        <v>0</v>
      </c>
      <c r="S56" s="1">
        <f t="shared" si="10"/>
        <v>0</v>
      </c>
      <c r="T56" s="1">
        <f t="shared" si="10"/>
        <v>73.831775700934571</v>
      </c>
      <c r="U56" s="1">
        <f t="shared" si="10"/>
        <v>0</v>
      </c>
      <c r="V56" s="1">
        <f t="shared" si="10"/>
        <v>100</v>
      </c>
    </row>
    <row r="57" spans="1:22" ht="15.75" customHeight="1" x14ac:dyDescent="0.2">
      <c r="A57" s="3" t="s">
        <v>32</v>
      </c>
      <c r="B57" s="3" t="s">
        <v>29</v>
      </c>
      <c r="C57" s="1" t="s">
        <v>26</v>
      </c>
      <c r="D57" s="1" t="s">
        <v>36</v>
      </c>
      <c r="E57" s="1">
        <f t="shared" ref="E57:V57" si="11">E29/84*100</f>
        <v>15.476190476190476</v>
      </c>
      <c r="F57" s="1">
        <f t="shared" si="11"/>
        <v>5.9523809523809517</v>
      </c>
      <c r="G57" s="1">
        <f t="shared" si="11"/>
        <v>0</v>
      </c>
      <c r="H57" s="1">
        <f t="shared" si="11"/>
        <v>0</v>
      </c>
      <c r="I57" s="1">
        <f t="shared" si="11"/>
        <v>0</v>
      </c>
      <c r="J57" s="1">
        <f t="shared" si="11"/>
        <v>9.5238095238095237</v>
      </c>
      <c r="K57" s="1">
        <f t="shared" si="11"/>
        <v>0</v>
      </c>
      <c r="L57" s="1">
        <f t="shared" si="11"/>
        <v>0</v>
      </c>
      <c r="M57" s="1">
        <f t="shared" si="11"/>
        <v>0</v>
      </c>
      <c r="N57" s="1">
        <f t="shared" si="11"/>
        <v>0</v>
      </c>
      <c r="O57" s="1">
        <f t="shared" si="11"/>
        <v>0</v>
      </c>
      <c r="P57" s="1">
        <f t="shared" si="11"/>
        <v>33.333333333333329</v>
      </c>
      <c r="Q57" s="1">
        <f t="shared" si="11"/>
        <v>0</v>
      </c>
      <c r="R57" s="1">
        <f t="shared" si="11"/>
        <v>0</v>
      </c>
      <c r="S57" s="1">
        <f t="shared" si="11"/>
        <v>0</v>
      </c>
      <c r="T57" s="1">
        <f t="shared" si="11"/>
        <v>35.714285714285715</v>
      </c>
      <c r="U57" s="1">
        <f t="shared" si="11"/>
        <v>0</v>
      </c>
      <c r="V57" s="1">
        <f t="shared" si="11"/>
        <v>100</v>
      </c>
    </row>
    <row r="58" spans="1:22" ht="15.75" customHeight="1" x14ac:dyDescent="0.2">
      <c r="A58" s="3" t="s">
        <v>32</v>
      </c>
      <c r="B58" s="3" t="s">
        <v>29</v>
      </c>
      <c r="C58" s="1" t="s">
        <v>26</v>
      </c>
      <c r="D58" s="1" t="s">
        <v>37</v>
      </c>
      <c r="E58" s="1">
        <f t="shared" ref="E58:V58" si="12">E30/75*100</f>
        <v>20</v>
      </c>
      <c r="F58" s="1">
        <f t="shared" si="12"/>
        <v>1.3333333333333335</v>
      </c>
      <c r="G58" s="1">
        <f t="shared" si="12"/>
        <v>0</v>
      </c>
      <c r="H58" s="1">
        <f t="shared" si="12"/>
        <v>0</v>
      </c>
      <c r="I58" s="1">
        <f t="shared" si="12"/>
        <v>0</v>
      </c>
      <c r="J58" s="1">
        <f t="shared" si="12"/>
        <v>6.666666666666667</v>
      </c>
      <c r="K58" s="1">
        <f t="shared" si="12"/>
        <v>0</v>
      </c>
      <c r="L58" s="1">
        <f t="shared" si="12"/>
        <v>0</v>
      </c>
      <c r="M58" s="1">
        <f t="shared" si="12"/>
        <v>0</v>
      </c>
      <c r="N58" s="1">
        <f t="shared" si="12"/>
        <v>4</v>
      </c>
      <c r="O58" s="1">
        <f t="shared" si="12"/>
        <v>0</v>
      </c>
      <c r="P58" s="1">
        <f t="shared" si="12"/>
        <v>17.333333333333336</v>
      </c>
      <c r="Q58" s="1">
        <f t="shared" si="12"/>
        <v>0</v>
      </c>
      <c r="R58" s="1">
        <f t="shared" si="12"/>
        <v>0</v>
      </c>
      <c r="S58" s="1">
        <f t="shared" si="12"/>
        <v>0</v>
      </c>
      <c r="T58" s="1">
        <f t="shared" si="12"/>
        <v>50.666666666666671</v>
      </c>
      <c r="U58" s="1">
        <f t="shared" si="12"/>
        <v>0</v>
      </c>
      <c r="V58" s="1">
        <f t="shared" si="12"/>
        <v>100</v>
      </c>
    </row>
    <row r="59" spans="1:22" ht="15.75" customHeight="1" x14ac:dyDescent="0.2">
      <c r="A59" s="3" t="s">
        <v>32</v>
      </c>
      <c r="B59" s="3" t="s">
        <v>29</v>
      </c>
      <c r="C59" s="1" t="s">
        <v>26</v>
      </c>
      <c r="D59" s="1" t="s">
        <v>47</v>
      </c>
      <c r="E59" s="1">
        <f t="shared" ref="E59:V59" si="13">E31/130*100</f>
        <v>28.46153846153846</v>
      </c>
      <c r="F59" s="1">
        <f t="shared" si="13"/>
        <v>24.615384615384617</v>
      </c>
      <c r="G59" s="1">
        <f t="shared" si="13"/>
        <v>0</v>
      </c>
      <c r="H59" s="1">
        <f t="shared" si="13"/>
        <v>15.384615384615385</v>
      </c>
      <c r="I59" s="1">
        <f t="shared" si="13"/>
        <v>0</v>
      </c>
      <c r="J59" s="1">
        <f t="shared" si="13"/>
        <v>1.5384615384615385</v>
      </c>
      <c r="K59" s="1">
        <f t="shared" si="13"/>
        <v>0</v>
      </c>
      <c r="L59" s="1">
        <f t="shared" si="13"/>
        <v>0</v>
      </c>
      <c r="M59" s="1">
        <f t="shared" si="13"/>
        <v>0</v>
      </c>
      <c r="N59" s="1">
        <f t="shared" si="13"/>
        <v>0</v>
      </c>
      <c r="O59" s="1">
        <f t="shared" si="13"/>
        <v>0</v>
      </c>
      <c r="P59" s="1">
        <f t="shared" si="13"/>
        <v>30</v>
      </c>
      <c r="Q59" s="1">
        <f t="shared" si="13"/>
        <v>0</v>
      </c>
      <c r="R59" s="1">
        <f t="shared" si="13"/>
        <v>0</v>
      </c>
      <c r="S59" s="1">
        <f t="shared" si="13"/>
        <v>0</v>
      </c>
      <c r="T59" s="1">
        <f t="shared" si="13"/>
        <v>0</v>
      </c>
      <c r="U59" s="1">
        <f t="shared" si="13"/>
        <v>0</v>
      </c>
      <c r="V59" s="1">
        <f t="shared" si="13"/>
        <v>100</v>
      </c>
    </row>
    <row r="60" spans="1:22" ht="15.75" customHeight="1" x14ac:dyDescent="0.2">
      <c r="A60" s="3" t="s">
        <v>48</v>
      </c>
      <c r="B60" s="3" t="s">
        <v>25</v>
      </c>
      <c r="C60" s="1" t="s">
        <v>26</v>
      </c>
      <c r="D60" s="1" t="s">
        <v>49</v>
      </c>
      <c r="E60" s="1">
        <v>10</v>
      </c>
      <c r="F60" s="1">
        <v>0</v>
      </c>
      <c r="G60" s="1">
        <v>17.5</v>
      </c>
      <c r="H60" s="1">
        <v>35.833333333333336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36.666666666666664</v>
      </c>
      <c r="Q60" s="1">
        <v>0</v>
      </c>
      <c r="R60" s="1">
        <v>0</v>
      </c>
      <c r="S60" s="1">
        <v>6</v>
      </c>
      <c r="T60" s="1">
        <v>0</v>
      </c>
      <c r="U60" s="1">
        <v>0</v>
      </c>
      <c r="V60" s="1">
        <v>100</v>
      </c>
    </row>
    <row r="61" spans="1:22" ht="15.75" customHeight="1" x14ac:dyDescent="0.2">
      <c r="A61" s="3" t="s">
        <v>48</v>
      </c>
      <c r="B61" s="3" t="s">
        <v>25</v>
      </c>
      <c r="C61" s="1" t="s">
        <v>26</v>
      </c>
      <c r="D61" s="1" t="s">
        <v>50</v>
      </c>
      <c r="E61" s="1">
        <v>21.428571428571427</v>
      </c>
      <c r="F61" s="1">
        <v>0</v>
      </c>
      <c r="G61" s="1">
        <v>6.1224489795918364</v>
      </c>
      <c r="H61" s="1">
        <v>35.714285714285715</v>
      </c>
      <c r="I61" s="1">
        <v>0</v>
      </c>
      <c r="J61" s="1">
        <v>0</v>
      </c>
      <c r="K61" s="1">
        <v>0</v>
      </c>
      <c r="L61" s="1">
        <v>0</v>
      </c>
      <c r="M61" s="1">
        <v>1.0204081632653061</v>
      </c>
      <c r="N61" s="1">
        <v>0</v>
      </c>
      <c r="O61" s="1">
        <v>0</v>
      </c>
      <c r="P61" s="1">
        <v>36.734693877551024</v>
      </c>
      <c r="Q61" s="1">
        <v>0</v>
      </c>
      <c r="R61" s="1">
        <v>0</v>
      </c>
      <c r="S61" s="1">
        <v>6</v>
      </c>
      <c r="T61" s="1">
        <v>0</v>
      </c>
      <c r="U61" s="1">
        <v>0</v>
      </c>
      <c r="V61" s="1">
        <v>101.0204081632653</v>
      </c>
    </row>
    <row r="62" spans="1:22" ht="15.75" customHeight="1" x14ac:dyDescent="0.2">
      <c r="A62" s="3" t="s">
        <v>48</v>
      </c>
      <c r="B62" s="3" t="s">
        <v>25</v>
      </c>
      <c r="C62" s="1" t="s">
        <v>26</v>
      </c>
      <c r="D62" s="1" t="s">
        <v>51</v>
      </c>
      <c r="E62" s="1">
        <f>7/85*100</f>
        <v>8.235294117647058</v>
      </c>
      <c r="F62" s="1">
        <v>0</v>
      </c>
      <c r="G62" s="1">
        <f>20/85*100</f>
        <v>23.52941176470588</v>
      </c>
      <c r="H62" s="1">
        <f>42/85*100</f>
        <v>49.411764705882355</v>
      </c>
      <c r="I62" s="1">
        <v>0</v>
      </c>
      <c r="J62" s="1">
        <v>0</v>
      </c>
      <c r="K62" s="1">
        <v>0</v>
      </c>
      <c r="L62" s="1">
        <f>2/85*100</f>
        <v>2.3529411764705883</v>
      </c>
      <c r="M62" s="1">
        <v>0</v>
      </c>
      <c r="N62" s="1">
        <v>0</v>
      </c>
      <c r="O62" s="1">
        <v>0</v>
      </c>
      <c r="P62" s="1">
        <f>15/85*100</f>
        <v>17.647058823529413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f t="shared" ref="V62:V78" si="14">SUM(E62:U62)</f>
        <v>101.1764705882353</v>
      </c>
    </row>
    <row r="63" spans="1:22" ht="15.75" customHeight="1" x14ac:dyDescent="0.2">
      <c r="A63" s="3" t="s">
        <v>48</v>
      </c>
      <c r="B63" s="3" t="s">
        <v>29</v>
      </c>
      <c r="C63" s="1" t="s">
        <v>26</v>
      </c>
      <c r="D63" s="1" t="s">
        <v>52</v>
      </c>
      <c r="E63" s="1">
        <f>8/143*100</f>
        <v>5.5944055944055942</v>
      </c>
      <c r="F63" s="1">
        <v>0</v>
      </c>
      <c r="G63" s="1">
        <f>31/143*100</f>
        <v>21.678321678321677</v>
      </c>
      <c r="H63" s="1">
        <f>17/143*100</f>
        <v>11.888111888111888</v>
      </c>
      <c r="I63" s="1">
        <v>0</v>
      </c>
      <c r="J63" s="1">
        <v>0</v>
      </c>
      <c r="K63" s="1">
        <v>0</v>
      </c>
      <c r="L63" s="1">
        <f>17/143*100</f>
        <v>11.888111888111888</v>
      </c>
      <c r="M63" s="1">
        <v>0</v>
      </c>
      <c r="N63" s="1">
        <v>0</v>
      </c>
      <c r="O63" s="1">
        <v>0</v>
      </c>
      <c r="P63" s="1">
        <f>61/143*100</f>
        <v>42.657342657342653</v>
      </c>
      <c r="Q63" s="1">
        <v>0</v>
      </c>
      <c r="R63" s="1">
        <v>0</v>
      </c>
      <c r="S63" s="1">
        <v>0</v>
      </c>
      <c r="T63" s="1">
        <v>0</v>
      </c>
      <c r="U63" s="1">
        <f>9/143*100</f>
        <v>6.2937062937062942</v>
      </c>
      <c r="V63" s="1">
        <f t="shared" si="14"/>
        <v>100</v>
      </c>
    </row>
    <row r="64" spans="1:22" ht="15.75" customHeight="1" x14ac:dyDescent="0.2">
      <c r="A64" s="3" t="s">
        <v>48</v>
      </c>
      <c r="B64" s="3" t="s">
        <v>29</v>
      </c>
      <c r="C64" s="1" t="s">
        <v>26</v>
      </c>
      <c r="D64" s="1" t="s">
        <v>53</v>
      </c>
      <c r="E64" s="1">
        <f>20/96*100</f>
        <v>20.833333333333336</v>
      </c>
      <c r="F64" s="1">
        <v>0</v>
      </c>
      <c r="G64" s="1">
        <f>26/96*100</f>
        <v>27.083333333333332</v>
      </c>
      <c r="H64" s="1">
        <f>10/96*100</f>
        <v>10.416666666666668</v>
      </c>
      <c r="I64" s="1">
        <v>0</v>
      </c>
      <c r="J64" s="1">
        <f>1/96*100</f>
        <v>1.0416666666666665</v>
      </c>
      <c r="K64" s="1">
        <v>0</v>
      </c>
      <c r="L64" s="1">
        <f>8/96*100</f>
        <v>8.3333333333333321</v>
      </c>
      <c r="M64" s="1">
        <v>0</v>
      </c>
      <c r="N64" s="1">
        <v>0</v>
      </c>
      <c r="O64" s="1">
        <v>0</v>
      </c>
      <c r="P64" s="1">
        <f>28/96*100</f>
        <v>29.166666666666668</v>
      </c>
      <c r="Q64" s="1">
        <v>0</v>
      </c>
      <c r="R64" s="1">
        <v>0</v>
      </c>
      <c r="S64" s="1">
        <v>0</v>
      </c>
      <c r="T64" s="1">
        <v>0</v>
      </c>
      <c r="U64" s="1">
        <f>3/96*100</f>
        <v>3.125</v>
      </c>
      <c r="V64" s="1">
        <f t="shared" si="14"/>
        <v>100.00000000000001</v>
      </c>
    </row>
    <row r="65" spans="1:27" ht="15.75" customHeight="1" x14ac:dyDescent="0.2">
      <c r="A65" s="3" t="s">
        <v>48</v>
      </c>
      <c r="B65" s="3" t="s">
        <v>29</v>
      </c>
      <c r="C65" s="1" t="s">
        <v>26</v>
      </c>
      <c r="D65" s="1" t="s">
        <v>54</v>
      </c>
      <c r="E65" s="1">
        <f>19/128*100</f>
        <v>14.84375</v>
      </c>
      <c r="F65" s="1">
        <f>7/128*100</f>
        <v>5.46875</v>
      </c>
      <c r="G65" s="1">
        <f>31/128*100</f>
        <v>24.21875</v>
      </c>
      <c r="H65" s="1">
        <f>9/128*100</f>
        <v>7.03125</v>
      </c>
      <c r="I65" s="1">
        <v>0</v>
      </c>
      <c r="J65" s="1">
        <v>0</v>
      </c>
      <c r="K65" s="1">
        <v>0</v>
      </c>
      <c r="L65" s="1">
        <f>4/128*100</f>
        <v>3.125</v>
      </c>
      <c r="M65" s="1">
        <v>0</v>
      </c>
      <c r="N65" s="1">
        <v>0</v>
      </c>
      <c r="O65" s="1">
        <v>0</v>
      </c>
      <c r="P65" s="1">
        <f>58/128*100</f>
        <v>45.3125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f t="shared" si="14"/>
        <v>100</v>
      </c>
    </row>
    <row r="66" spans="1:27" ht="15.75" customHeight="1" x14ac:dyDescent="0.2">
      <c r="A66" s="3" t="s">
        <v>48</v>
      </c>
      <c r="B66" s="3" t="s">
        <v>29</v>
      </c>
      <c r="C66" s="1" t="s">
        <v>26</v>
      </c>
      <c r="D66" s="1" t="s">
        <v>55</v>
      </c>
      <c r="E66" s="1">
        <f>11/146*100</f>
        <v>7.5342465753424657</v>
      </c>
      <c r="F66" s="1">
        <f>10/146*100</f>
        <v>6.8493150684931505</v>
      </c>
      <c r="G66" s="1">
        <f>38/146*100</f>
        <v>26.027397260273972</v>
      </c>
      <c r="H66" s="1">
        <f>9/146*100</f>
        <v>6.1643835616438354</v>
      </c>
      <c r="I66" s="1">
        <v>0</v>
      </c>
      <c r="J66" s="1">
        <f>2/146*100</f>
        <v>1.3698630136986301</v>
      </c>
      <c r="K66" s="1">
        <v>0</v>
      </c>
      <c r="L66" s="1">
        <f>14/146*100</f>
        <v>9.5890410958904102</v>
      </c>
      <c r="M66" s="1">
        <v>0</v>
      </c>
      <c r="N66" s="1">
        <f>3/146*100</f>
        <v>2.054794520547945</v>
      </c>
      <c r="O66" s="1">
        <v>0</v>
      </c>
      <c r="P66" s="1">
        <f>59/146*100</f>
        <v>40.410958904109592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f t="shared" si="14"/>
        <v>100</v>
      </c>
    </row>
    <row r="67" spans="1:27" ht="15.75" customHeight="1" x14ac:dyDescent="0.2">
      <c r="A67" s="3" t="s">
        <v>48</v>
      </c>
      <c r="B67" s="3" t="s">
        <v>29</v>
      </c>
      <c r="C67" s="1" t="s">
        <v>26</v>
      </c>
      <c r="D67" s="1" t="s">
        <v>56</v>
      </c>
      <c r="E67" s="1">
        <f>23/175*100</f>
        <v>13.142857142857142</v>
      </c>
      <c r="F67" s="1">
        <v>0</v>
      </c>
      <c r="G67" s="1">
        <f>34/175*100</f>
        <v>19.428571428571427</v>
      </c>
      <c r="H67" s="1">
        <f>9/175*100</f>
        <v>5.1428571428571423</v>
      </c>
      <c r="I67" s="1">
        <v>0</v>
      </c>
      <c r="J67" s="1">
        <f>1/175*100</f>
        <v>0.5714285714285714</v>
      </c>
      <c r="K67" s="1">
        <v>0</v>
      </c>
      <c r="L67" s="1">
        <f>23/175*100</f>
        <v>13.142857142857142</v>
      </c>
      <c r="M67" s="1">
        <v>0</v>
      </c>
      <c r="N67" s="1">
        <f>1/175*100</f>
        <v>0.5714285714285714</v>
      </c>
      <c r="O67" s="1">
        <v>0</v>
      </c>
      <c r="P67" s="1">
        <f>84/175*100</f>
        <v>48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f t="shared" si="14"/>
        <v>99.999999999999986</v>
      </c>
    </row>
    <row r="68" spans="1:27" ht="15.75" customHeight="1" x14ac:dyDescent="0.2">
      <c r="A68" s="2" t="s">
        <v>48</v>
      </c>
      <c r="B68" s="2" t="s">
        <v>29</v>
      </c>
      <c r="C68" s="2" t="s">
        <v>26</v>
      </c>
      <c r="D68" s="2" t="s">
        <v>57</v>
      </c>
      <c r="E68" s="2">
        <f>30/185*100</f>
        <v>16.216216216216218</v>
      </c>
      <c r="F68" s="2">
        <f>3/185*100</f>
        <v>1.6216216216216217</v>
      </c>
      <c r="G68" s="2">
        <f>42/185*100</f>
        <v>22.702702702702705</v>
      </c>
      <c r="H68" s="2">
        <f>5/185*100</f>
        <v>2.7027027027027026</v>
      </c>
      <c r="I68" s="2">
        <v>0</v>
      </c>
      <c r="J68" s="2">
        <v>0</v>
      </c>
      <c r="K68" s="2">
        <v>0</v>
      </c>
      <c r="L68" s="2">
        <f>15/185*100</f>
        <v>8.1081081081081088</v>
      </c>
      <c r="M68" s="2">
        <v>0</v>
      </c>
      <c r="N68" s="2">
        <f>2/185*100</f>
        <v>1.0810810810810811</v>
      </c>
      <c r="O68" s="2">
        <v>0</v>
      </c>
      <c r="P68" s="2">
        <f>88/185*100</f>
        <v>47.567567567567572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14"/>
        <v>100</v>
      </c>
      <c r="W68" s="2"/>
      <c r="X68" s="2"/>
      <c r="Y68" s="2"/>
      <c r="Z68" s="2"/>
      <c r="AA68" s="2"/>
    </row>
    <row r="69" spans="1:27" ht="15.75" customHeight="1" x14ac:dyDescent="0.2">
      <c r="A69" s="3" t="s">
        <v>58</v>
      </c>
      <c r="B69" s="3" t="s">
        <v>25</v>
      </c>
      <c r="C69" s="1" t="s">
        <v>59</v>
      </c>
      <c r="D69" s="1" t="s">
        <v>60</v>
      </c>
      <c r="E69" s="1">
        <f>39/123*100</f>
        <v>31.707317073170731</v>
      </c>
      <c r="F69" s="11">
        <f t="shared" ref="F69:G69" si="15">6/123*100</f>
        <v>4.8780487804878048</v>
      </c>
      <c r="G69" s="11">
        <f t="shared" si="15"/>
        <v>4.8780487804878048</v>
      </c>
      <c r="H69" s="11">
        <f>16/123*100</f>
        <v>13.008130081300814</v>
      </c>
      <c r="I69" s="11">
        <v>0</v>
      </c>
      <c r="J69" s="11">
        <v>0</v>
      </c>
      <c r="K69" s="11">
        <v>0</v>
      </c>
      <c r="L69" s="11">
        <v>0</v>
      </c>
      <c r="M69" s="11">
        <f>1/123*100</f>
        <v>0.81300813008130091</v>
      </c>
      <c r="N69" s="11">
        <v>0</v>
      </c>
      <c r="O69" s="11">
        <f>26/123*100</f>
        <v>21.138211382113823</v>
      </c>
      <c r="P69" s="11">
        <f>5/123*100</f>
        <v>4.0650406504065035</v>
      </c>
      <c r="Q69" s="11">
        <v>0</v>
      </c>
      <c r="R69" s="1">
        <v>0</v>
      </c>
      <c r="S69" s="1">
        <v>0</v>
      </c>
      <c r="T69" s="1">
        <v>0</v>
      </c>
      <c r="U69" s="1">
        <v>0</v>
      </c>
      <c r="V69" s="1">
        <f t="shared" si="14"/>
        <v>80.487804878048777</v>
      </c>
    </row>
    <row r="70" spans="1:27" ht="15.75" customHeight="1" x14ac:dyDescent="0.2">
      <c r="A70" s="3" t="s">
        <v>58</v>
      </c>
      <c r="B70" s="3" t="s">
        <v>25</v>
      </c>
      <c r="C70" s="1" t="s">
        <v>59</v>
      </c>
      <c r="D70" s="1" t="s">
        <v>61</v>
      </c>
      <c r="E70" s="1">
        <f>20/145*100</f>
        <v>13.793103448275861</v>
      </c>
      <c r="F70" s="11">
        <f>4/145*100</f>
        <v>2.7586206896551726</v>
      </c>
      <c r="G70" s="11">
        <f>20/145*100</f>
        <v>13.793103448275861</v>
      </c>
      <c r="H70" s="11">
        <f>8/145*100</f>
        <v>5.5172413793103452</v>
      </c>
      <c r="I70" s="11">
        <v>0</v>
      </c>
      <c r="J70" s="11">
        <v>0</v>
      </c>
      <c r="K70" s="11">
        <v>0</v>
      </c>
      <c r="L70" s="11">
        <v>0</v>
      </c>
      <c r="M70" s="11">
        <f>10/145*100</f>
        <v>6.8965517241379306</v>
      </c>
      <c r="N70" s="11">
        <v>0</v>
      </c>
      <c r="O70" s="11">
        <f>58/145*100</f>
        <v>40</v>
      </c>
      <c r="P70" s="11">
        <f>13/145*100</f>
        <v>8.9655172413793096</v>
      </c>
      <c r="Q70" s="11">
        <v>0</v>
      </c>
      <c r="R70" s="1">
        <f>3/145*100</f>
        <v>2.0689655172413794</v>
      </c>
      <c r="S70" s="1">
        <v>0</v>
      </c>
      <c r="T70" s="1">
        <v>0</v>
      </c>
      <c r="U70" s="1">
        <v>0</v>
      </c>
      <c r="V70" s="1">
        <f t="shared" si="14"/>
        <v>93.793103448275858</v>
      </c>
    </row>
    <row r="71" spans="1:27" ht="15.75" customHeight="1" x14ac:dyDescent="0.2">
      <c r="A71" s="3" t="s">
        <v>58</v>
      </c>
      <c r="B71" s="3" t="s">
        <v>25</v>
      </c>
      <c r="C71" s="1" t="s">
        <v>59</v>
      </c>
      <c r="D71" s="1" t="s">
        <v>62</v>
      </c>
      <c r="E71" s="11">
        <f>5/121*100</f>
        <v>4.1322314049586781</v>
      </c>
      <c r="F71" s="11">
        <f>2/121*100</f>
        <v>1.6528925619834711</v>
      </c>
      <c r="G71" s="11">
        <f>12/121*100</f>
        <v>9.9173553719008272</v>
      </c>
      <c r="H71" s="11">
        <f>8/121*100</f>
        <v>6.6115702479338845</v>
      </c>
      <c r="I71" s="11">
        <v>0</v>
      </c>
      <c r="J71" s="11">
        <v>0</v>
      </c>
      <c r="K71" s="11">
        <v>0</v>
      </c>
      <c r="L71" s="11">
        <v>0</v>
      </c>
      <c r="M71" s="11">
        <f>7/121*100</f>
        <v>5.785123966942149</v>
      </c>
      <c r="N71" s="11">
        <v>0</v>
      </c>
      <c r="O71" s="11">
        <f>74/121*100</f>
        <v>61.157024793388423</v>
      </c>
      <c r="P71" s="11">
        <f>5/121*100</f>
        <v>4.1322314049586781</v>
      </c>
      <c r="Q71" s="11">
        <v>0</v>
      </c>
      <c r="R71" s="1">
        <f>2/121*100</f>
        <v>1.6528925619834711</v>
      </c>
      <c r="S71" s="1">
        <v>0</v>
      </c>
      <c r="T71" s="1">
        <v>0</v>
      </c>
      <c r="U71" s="1">
        <v>0</v>
      </c>
      <c r="V71" s="1">
        <f t="shared" si="14"/>
        <v>95.04132231404958</v>
      </c>
    </row>
    <row r="72" spans="1:27" ht="15.75" customHeight="1" x14ac:dyDescent="0.2">
      <c r="A72" s="3" t="s">
        <v>58</v>
      </c>
      <c r="B72" s="3" t="s">
        <v>25</v>
      </c>
      <c r="C72" s="1" t="s">
        <v>59</v>
      </c>
      <c r="D72" s="1" t="s">
        <v>187</v>
      </c>
      <c r="E72" s="10">
        <v>8.6577667342000009</v>
      </c>
      <c r="F72" s="10">
        <v>2.0957747282820001</v>
      </c>
      <c r="G72" s="10">
        <v>7.8349509387409304</v>
      </c>
      <c r="H72" s="10">
        <v>8.3748590460500001</v>
      </c>
      <c r="I72" s="11">
        <v>0</v>
      </c>
      <c r="J72" s="11">
        <v>0</v>
      </c>
      <c r="K72" s="11">
        <v>0</v>
      </c>
      <c r="L72" s="11">
        <v>0</v>
      </c>
      <c r="M72" s="10">
        <v>6.4689459654645001</v>
      </c>
      <c r="N72" s="11">
        <v>0</v>
      </c>
      <c r="O72" s="10">
        <v>40.984758934759803</v>
      </c>
      <c r="P72" s="10">
        <v>5.7902983109480299</v>
      </c>
      <c r="Q72" s="11">
        <v>0</v>
      </c>
      <c r="R72" s="12">
        <v>0</v>
      </c>
      <c r="S72" s="1">
        <v>0</v>
      </c>
      <c r="T72" s="1">
        <v>0</v>
      </c>
      <c r="U72" s="1">
        <v>0</v>
      </c>
      <c r="V72" s="1">
        <f t="shared" si="14"/>
        <v>80.207354658445269</v>
      </c>
    </row>
    <row r="73" spans="1:27" ht="15.75" customHeight="1" x14ac:dyDescent="0.2">
      <c r="A73" s="3" t="s">
        <v>58</v>
      </c>
      <c r="B73" s="3" t="s">
        <v>25</v>
      </c>
      <c r="C73" s="1" t="s">
        <v>59</v>
      </c>
      <c r="D73" s="1" t="s">
        <v>190</v>
      </c>
      <c r="E73" s="10">
        <v>18.938475343733</v>
      </c>
      <c r="F73" s="10">
        <v>4.08673776436535</v>
      </c>
      <c r="G73" s="10">
        <v>8.9348203875983394</v>
      </c>
      <c r="H73" s="10">
        <v>10.9853794837589</v>
      </c>
      <c r="I73" s="11">
        <v>0</v>
      </c>
      <c r="J73" s="11">
        <v>0</v>
      </c>
      <c r="K73" s="11">
        <v>0</v>
      </c>
      <c r="L73" s="11">
        <v>0</v>
      </c>
      <c r="M73" s="10">
        <v>6.4596798679586396</v>
      </c>
      <c r="N73" s="11">
        <v>0</v>
      </c>
      <c r="O73" s="10">
        <v>35.947975984754002</v>
      </c>
      <c r="P73" s="10">
        <v>4.5937498754987898</v>
      </c>
      <c r="Q73" s="11">
        <v>0</v>
      </c>
      <c r="R73" s="12">
        <v>2.4857498579876398</v>
      </c>
      <c r="S73" s="1">
        <v>0</v>
      </c>
      <c r="T73" s="1">
        <v>0</v>
      </c>
      <c r="U73" s="1">
        <v>0</v>
      </c>
      <c r="V73" s="1">
        <f t="shared" si="14"/>
        <v>92.432568565654663</v>
      </c>
    </row>
    <row r="74" spans="1:27" ht="15.75" customHeight="1" x14ac:dyDescent="0.2">
      <c r="A74" s="3" t="s">
        <v>58</v>
      </c>
      <c r="B74" s="3" t="s">
        <v>25</v>
      </c>
      <c r="C74" s="1" t="s">
        <v>59</v>
      </c>
      <c r="D74" s="1" t="s">
        <v>186</v>
      </c>
      <c r="E74" s="10">
        <v>18.873646445454501</v>
      </c>
      <c r="F74" s="10">
        <v>1.9587675994544</v>
      </c>
      <c r="G74" s="10">
        <v>4.6894738574093502</v>
      </c>
      <c r="H74" s="10">
        <v>4.9457943875894701</v>
      </c>
      <c r="I74" s="11">
        <v>0</v>
      </c>
      <c r="J74" s="11">
        <v>0</v>
      </c>
      <c r="K74" s="11">
        <v>0</v>
      </c>
      <c r="L74" s="11">
        <v>0</v>
      </c>
      <c r="M74" s="10">
        <v>0.82734983654350003</v>
      </c>
      <c r="N74" s="11">
        <v>0</v>
      </c>
      <c r="O74" s="10">
        <v>28.345435454688999</v>
      </c>
      <c r="P74" s="10">
        <v>2.09475809347598</v>
      </c>
      <c r="Q74" s="11">
        <v>0</v>
      </c>
      <c r="R74" s="12">
        <v>1.4235435465654001</v>
      </c>
      <c r="S74" s="1">
        <v>0</v>
      </c>
      <c r="T74" s="1">
        <v>0</v>
      </c>
      <c r="U74" s="1">
        <v>0</v>
      </c>
      <c r="V74" s="1">
        <f t="shared" si="14"/>
        <v>63.158769221181601</v>
      </c>
    </row>
    <row r="75" spans="1:27" ht="15.75" customHeight="1" x14ac:dyDescent="0.2">
      <c r="A75" s="3" t="s">
        <v>58</v>
      </c>
      <c r="B75" s="3" t="s">
        <v>25</v>
      </c>
      <c r="C75" s="1" t="s">
        <v>59</v>
      </c>
      <c r="D75" s="1" t="s">
        <v>63</v>
      </c>
      <c r="E75" s="10">
        <v>8.8673927477482906</v>
      </c>
      <c r="F75" s="10">
        <v>3.9687498343429999</v>
      </c>
      <c r="G75" s="10">
        <v>13.329843985479499</v>
      </c>
      <c r="H75" s="10">
        <v>8.2983498235769808</v>
      </c>
      <c r="I75" s="11">
        <v>0</v>
      </c>
      <c r="J75" s="11">
        <v>0</v>
      </c>
      <c r="K75" s="11">
        <v>0</v>
      </c>
      <c r="L75" s="11">
        <v>0</v>
      </c>
      <c r="M75" s="10">
        <v>1.54985984798674</v>
      </c>
      <c r="N75" s="11">
        <v>0</v>
      </c>
      <c r="O75" s="10">
        <v>64.485749867548606</v>
      </c>
      <c r="P75" s="10" t="s">
        <v>191</v>
      </c>
      <c r="Q75" s="11">
        <v>0</v>
      </c>
      <c r="R75" s="12">
        <v>3.4358475984750001</v>
      </c>
      <c r="S75" s="1">
        <v>0</v>
      </c>
      <c r="T75" s="1">
        <v>0</v>
      </c>
      <c r="U75" s="1">
        <v>0</v>
      </c>
      <c r="V75" s="1">
        <f t="shared" si="14"/>
        <v>103.93579370515812</v>
      </c>
    </row>
    <row r="76" spans="1:27" ht="15.75" customHeight="1" x14ac:dyDescent="0.2">
      <c r="A76" s="3" t="s">
        <v>58</v>
      </c>
      <c r="B76" s="3" t="s">
        <v>25</v>
      </c>
      <c r="C76" s="1" t="s">
        <v>59</v>
      </c>
      <c r="D76" s="1" t="s">
        <v>188</v>
      </c>
      <c r="E76" s="10">
        <v>15.746675895059299</v>
      </c>
      <c r="F76" s="10">
        <v>5.9859459485409499</v>
      </c>
      <c r="G76" s="10">
        <v>12.594860349853001</v>
      </c>
      <c r="H76" s="10">
        <v>8.3984759847598305</v>
      </c>
      <c r="I76" s="11">
        <v>0</v>
      </c>
      <c r="J76" s="11">
        <v>0</v>
      </c>
      <c r="K76" s="11">
        <v>0</v>
      </c>
      <c r="L76" s="11">
        <v>0</v>
      </c>
      <c r="M76" s="10">
        <v>6.3432424564999996</v>
      </c>
      <c r="N76" s="11">
        <v>0</v>
      </c>
      <c r="O76" s="10">
        <v>49.9845749857923</v>
      </c>
      <c r="P76" s="10">
        <v>9.2937429385798307</v>
      </c>
      <c r="Q76" s="11">
        <v>0</v>
      </c>
      <c r="R76" s="12">
        <v>0</v>
      </c>
      <c r="S76" s="1">
        <v>0</v>
      </c>
      <c r="T76" s="1">
        <v>0</v>
      </c>
      <c r="U76" s="1">
        <v>0</v>
      </c>
      <c r="V76" s="1">
        <f t="shared" si="14"/>
        <v>108.3475185590852</v>
      </c>
    </row>
    <row r="77" spans="1:27" ht="15.75" customHeight="1" x14ac:dyDescent="0.2">
      <c r="A77" s="3" t="s">
        <v>58</v>
      </c>
      <c r="B77" s="3" t="s">
        <v>25</v>
      </c>
      <c r="C77" s="1" t="s">
        <v>59</v>
      </c>
      <c r="D77" s="1" t="s">
        <v>189</v>
      </c>
      <c r="E77" s="10">
        <v>18.8575773003984</v>
      </c>
      <c r="F77" s="10">
        <v>1.5454466766999999</v>
      </c>
      <c r="G77" s="10">
        <v>8.9858345743499992</v>
      </c>
      <c r="H77" s="10">
        <v>10.3987598437598</v>
      </c>
      <c r="I77" s="11">
        <v>0</v>
      </c>
      <c r="J77" s="11">
        <v>0</v>
      </c>
      <c r="K77" s="11">
        <v>0</v>
      </c>
      <c r="L77" s="11">
        <v>0</v>
      </c>
      <c r="M77" s="10">
        <v>4.3302498309540001</v>
      </c>
      <c r="N77" s="11">
        <v>0</v>
      </c>
      <c r="O77" s="10">
        <v>26.458479587492999</v>
      </c>
      <c r="P77" s="10">
        <v>8.2347238798354301</v>
      </c>
      <c r="Q77" s="11">
        <v>0</v>
      </c>
      <c r="R77" s="12">
        <v>1.34535666343</v>
      </c>
      <c r="S77" s="1">
        <v>0</v>
      </c>
      <c r="T77" s="1">
        <v>0</v>
      </c>
      <c r="U77" s="1">
        <v>0</v>
      </c>
      <c r="V77" s="1">
        <f t="shared" si="14"/>
        <v>80.156428356920628</v>
      </c>
    </row>
    <row r="78" spans="1:27" ht="15.75" customHeight="1" x14ac:dyDescent="0.2">
      <c r="A78" s="3" t="s">
        <v>58</v>
      </c>
      <c r="B78" s="3" t="s">
        <v>25</v>
      </c>
      <c r="C78" s="1" t="s">
        <v>59</v>
      </c>
      <c r="D78" s="1" t="s">
        <v>188</v>
      </c>
      <c r="E78" s="10">
        <v>25.857577939575702</v>
      </c>
      <c r="F78" s="10">
        <v>1.968856985965</v>
      </c>
      <c r="G78" s="10">
        <v>10.434534535345</v>
      </c>
      <c r="H78" s="10">
        <v>7.23473985794835</v>
      </c>
      <c r="I78" s="11">
        <v>0</v>
      </c>
      <c r="J78" s="11">
        <v>0</v>
      </c>
      <c r="K78" s="11">
        <v>0</v>
      </c>
      <c r="L78" s="11">
        <v>0</v>
      </c>
      <c r="M78" s="10">
        <v>5.4584379587942999</v>
      </c>
      <c r="N78" s="11">
        <v>0</v>
      </c>
      <c r="O78" s="10">
        <v>39.459620397329999</v>
      </c>
      <c r="P78" s="10">
        <v>4.3357438759400004</v>
      </c>
      <c r="Q78" s="11">
        <v>0</v>
      </c>
      <c r="R78" s="12">
        <v>0</v>
      </c>
      <c r="S78" s="1">
        <v>0</v>
      </c>
      <c r="T78" s="1">
        <v>0</v>
      </c>
      <c r="U78" s="1">
        <v>0</v>
      </c>
      <c r="V78" s="1">
        <v>89.774076879999996</v>
      </c>
    </row>
    <row r="79" spans="1:27" ht="15.75" customHeight="1" x14ac:dyDescent="0.2"/>
    <row r="80" spans="1:27" ht="15.75" customHeight="1" x14ac:dyDescent="0.2">
      <c r="A80" s="4" t="s">
        <v>64</v>
      </c>
    </row>
    <row r="81" spans="1:27" ht="15.75" customHeight="1" x14ac:dyDescent="0.2">
      <c r="A81" s="1" t="s">
        <v>0</v>
      </c>
      <c r="B81" s="1" t="s">
        <v>1</v>
      </c>
      <c r="C81" s="1" t="s">
        <v>4</v>
      </c>
      <c r="D81" s="1" t="s">
        <v>5</v>
      </c>
      <c r="E81" s="1" t="s">
        <v>6</v>
      </c>
      <c r="F81" s="1" t="s">
        <v>7</v>
      </c>
      <c r="G81" s="1" t="s">
        <v>8</v>
      </c>
      <c r="H81" s="1" t="s">
        <v>9</v>
      </c>
      <c r="I81" s="1" t="s">
        <v>10</v>
      </c>
      <c r="J81" s="1" t="s">
        <v>11</v>
      </c>
      <c r="K81" s="1" t="s">
        <v>12</v>
      </c>
      <c r="L81" s="1" t="s">
        <v>13</v>
      </c>
      <c r="M81" s="1" t="s">
        <v>14</v>
      </c>
      <c r="N81" s="1" t="s">
        <v>15</v>
      </c>
      <c r="O81" s="1" t="s">
        <v>17</v>
      </c>
      <c r="P81" s="1" t="s">
        <v>65</v>
      </c>
      <c r="R81" s="1" t="s">
        <v>66</v>
      </c>
      <c r="T81" s="1" t="s">
        <v>0</v>
      </c>
      <c r="U81" s="1" t="s">
        <v>67</v>
      </c>
      <c r="V81" s="1" t="s">
        <v>6</v>
      </c>
      <c r="W81" s="1" t="s">
        <v>12</v>
      </c>
      <c r="X81" s="1" t="s">
        <v>14</v>
      </c>
      <c r="Y81" s="1" t="s">
        <v>15</v>
      </c>
      <c r="Z81" s="1" t="s">
        <v>9</v>
      </c>
      <c r="AA81" s="1" t="s">
        <v>17</v>
      </c>
    </row>
    <row r="82" spans="1:27" ht="15.75" customHeight="1" x14ac:dyDescent="0.2">
      <c r="A82" s="1" t="s">
        <v>68</v>
      </c>
      <c r="B82" s="1" t="s">
        <v>25</v>
      </c>
      <c r="C82" s="1">
        <f>AVERAGE(E51:E52)</f>
        <v>16.441348145358688</v>
      </c>
      <c r="D82" s="1">
        <v>0</v>
      </c>
      <c r="E82" s="1">
        <f t="shared" ref="E82:F82" si="16">AVERAGE(G51:G52)</f>
        <v>2.6548672566371683</v>
      </c>
      <c r="F82" s="1">
        <f t="shared" si="16"/>
        <v>22.457164375823762</v>
      </c>
      <c r="G82" s="1">
        <v>0</v>
      </c>
      <c r="H82" s="1">
        <v>2.9787234042553195</v>
      </c>
      <c r="I82" s="1">
        <v>0</v>
      </c>
      <c r="J82" s="1">
        <f>AVERAGE(L51:L52)</f>
        <v>1.3274336283185841</v>
      </c>
      <c r="K82" s="1">
        <v>0</v>
      </c>
      <c r="L82" s="1">
        <v>0</v>
      </c>
      <c r="M82" s="1">
        <v>0</v>
      </c>
      <c r="N82" s="1">
        <f>AVERAGE(P51:P52)</f>
        <v>12.236866880060251</v>
      </c>
      <c r="O82" s="1">
        <v>0</v>
      </c>
      <c r="P82" s="1">
        <f t="shared" ref="P82:P88" si="17">SUM(C82:O82)</f>
        <v>58.096403690453769</v>
      </c>
      <c r="R82" s="1">
        <f t="shared" ref="R82:R88" si="18">SUM(G82:O82)</f>
        <v>16.543023912634155</v>
      </c>
      <c r="T82" s="1" t="s">
        <v>68</v>
      </c>
      <c r="U82" s="1">
        <f t="shared" ref="U82:U88" si="19">SUM(C82:D82)</f>
        <v>16.441348145358688</v>
      </c>
      <c r="V82" s="1">
        <v>2.6548672566371683</v>
      </c>
      <c r="W82" s="1">
        <v>0</v>
      </c>
      <c r="X82" s="1">
        <v>0</v>
      </c>
      <c r="Y82" s="1">
        <v>12.236866880060251</v>
      </c>
      <c r="Z82" s="1">
        <v>2.9787234042553195</v>
      </c>
      <c r="AA82" s="1">
        <f t="shared" ref="AA82:AA88" si="20">SUM(F82,G82,I82,J82,L82,O82)</f>
        <v>23.784598004142346</v>
      </c>
    </row>
    <row r="83" spans="1:27" ht="15.75" customHeight="1" x14ac:dyDescent="0.2">
      <c r="A83" s="1" t="s">
        <v>69</v>
      </c>
      <c r="B83" s="1" t="s">
        <v>29</v>
      </c>
      <c r="C83" s="1">
        <f t="shared" ref="C83:F83" si="21">AVERAGE(E47:E50)</f>
        <v>14.09660508343579</v>
      </c>
      <c r="D83" s="1">
        <f t="shared" si="21"/>
        <v>0</v>
      </c>
      <c r="E83" s="1">
        <f t="shared" si="21"/>
        <v>6.3444079089114611</v>
      </c>
      <c r="F83" s="1">
        <f t="shared" si="21"/>
        <v>25.598903108866722</v>
      </c>
      <c r="G83" s="1">
        <v>0</v>
      </c>
      <c r="H83" s="1">
        <f t="shared" ref="H83:J83" si="22">AVERAGE(J47:J50)</f>
        <v>0.71421924436999806</v>
      </c>
      <c r="I83" s="1">
        <f t="shared" si="22"/>
        <v>0.14367816091954022</v>
      </c>
      <c r="J83" s="1">
        <f t="shared" si="22"/>
        <v>3.8901197283626674</v>
      </c>
      <c r="K83" s="1">
        <v>0</v>
      </c>
      <c r="L83" s="1">
        <f>AVERAGE(N47:N50)</f>
        <v>1.9804780149607737</v>
      </c>
      <c r="M83" s="1">
        <v>0</v>
      </c>
      <c r="N83" s="5">
        <f>AVERAGE(P47:P50)</f>
        <v>47.231588750173053</v>
      </c>
      <c r="O83" s="1">
        <v>0</v>
      </c>
      <c r="P83" s="1">
        <f t="shared" si="17"/>
        <v>100.00000000000001</v>
      </c>
      <c r="R83" s="1">
        <f t="shared" si="18"/>
        <v>53.960083898786031</v>
      </c>
      <c r="T83" s="1" t="s">
        <v>69</v>
      </c>
      <c r="U83" s="1">
        <f t="shared" si="19"/>
        <v>14.09660508343579</v>
      </c>
      <c r="V83" s="1">
        <v>6.3444079089114611</v>
      </c>
      <c r="W83" s="1">
        <v>0</v>
      </c>
      <c r="X83" s="1">
        <v>0</v>
      </c>
      <c r="Y83" s="1">
        <v>47.231588750173053</v>
      </c>
      <c r="Z83" s="1">
        <v>0.71421924436999806</v>
      </c>
      <c r="AA83" s="1">
        <f t="shared" si="20"/>
        <v>31.613179013109701</v>
      </c>
    </row>
    <row r="84" spans="1:27" ht="15.75" customHeight="1" x14ac:dyDescent="0.2">
      <c r="A84" s="1" t="s">
        <v>70</v>
      </c>
      <c r="B84" s="1" t="s">
        <v>25</v>
      </c>
      <c r="C84" s="1">
        <f t="shared" ref="C84:D84" si="23">AVERAGE(E53:E55)</f>
        <v>13.90564403331426</v>
      </c>
      <c r="D84" s="1">
        <f t="shared" si="23"/>
        <v>18.56993186682773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f t="shared" si="17"/>
        <v>32.47557590014199</v>
      </c>
      <c r="R84" s="1">
        <f t="shared" si="18"/>
        <v>0</v>
      </c>
      <c r="T84" s="1" t="s">
        <v>70</v>
      </c>
      <c r="U84" s="1">
        <f t="shared" si="19"/>
        <v>32.47557590014199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f t="shared" si="20"/>
        <v>0</v>
      </c>
    </row>
    <row r="85" spans="1:27" ht="15.75" customHeight="1" x14ac:dyDescent="0.2">
      <c r="A85" s="1" t="s">
        <v>71</v>
      </c>
      <c r="B85" s="1" t="s">
        <v>29</v>
      </c>
      <c r="C85" s="1">
        <f t="shared" ref="C85:H85" si="24">AVERAGE(E56:E59)</f>
        <v>19.956394851254665</v>
      </c>
      <c r="D85" s="1">
        <f t="shared" si="24"/>
        <v>10.545368183218649</v>
      </c>
      <c r="E85" s="1">
        <f t="shared" si="24"/>
        <v>0</v>
      </c>
      <c r="F85" s="1">
        <f t="shared" si="24"/>
        <v>3.8461538461538463</v>
      </c>
      <c r="G85" s="1">
        <f t="shared" si="24"/>
        <v>0</v>
      </c>
      <c r="H85" s="1">
        <f t="shared" si="24"/>
        <v>4.4322344322344325</v>
      </c>
      <c r="I85" s="1">
        <v>0</v>
      </c>
      <c r="J85" s="1">
        <f>AVERAGE(L56:L59)</f>
        <v>0</v>
      </c>
      <c r="K85" s="1">
        <v>0</v>
      </c>
      <c r="L85" s="1">
        <f>AVERAGE(N56:N59)</f>
        <v>1</v>
      </c>
      <c r="M85" s="1">
        <v>0</v>
      </c>
      <c r="N85" s="1">
        <f>AVERAGE(P56:P59)</f>
        <v>20.166666666666664</v>
      </c>
      <c r="O85" s="1">
        <v>0</v>
      </c>
      <c r="P85" s="1">
        <f t="shared" si="17"/>
        <v>59.946817979528255</v>
      </c>
      <c r="R85" s="1">
        <f t="shared" si="18"/>
        <v>25.598901098901095</v>
      </c>
      <c r="T85" s="1" t="s">
        <v>71</v>
      </c>
      <c r="U85" s="1">
        <f t="shared" si="19"/>
        <v>30.501763034473313</v>
      </c>
      <c r="V85" s="1">
        <v>0</v>
      </c>
      <c r="W85" s="1">
        <v>0</v>
      </c>
      <c r="X85" s="1">
        <v>0</v>
      </c>
      <c r="Y85" s="1">
        <v>20.166666666666664</v>
      </c>
      <c r="Z85" s="1">
        <v>4.4322344322344325</v>
      </c>
      <c r="AA85" s="1">
        <f t="shared" si="20"/>
        <v>4.8461538461538467</v>
      </c>
    </row>
    <row r="86" spans="1:27" ht="15.75" customHeight="1" x14ac:dyDescent="0.2">
      <c r="A86" s="1" t="s">
        <v>72</v>
      </c>
      <c r="B86" s="1" t="s">
        <v>25</v>
      </c>
      <c r="C86" s="1">
        <f>AVERAGE(E60:E62)</f>
        <v>13.221288515406163</v>
      </c>
      <c r="D86" s="1">
        <v>0</v>
      </c>
      <c r="E86" s="1">
        <f t="shared" ref="E86:F86" si="25">AVERAGE(G60:G61)</f>
        <v>11.811224489795919</v>
      </c>
      <c r="F86" s="1">
        <f t="shared" si="25"/>
        <v>35.773809523809526</v>
      </c>
      <c r="G86" s="1">
        <v>0</v>
      </c>
      <c r="H86" s="1">
        <v>0</v>
      </c>
      <c r="I86" s="1">
        <v>0</v>
      </c>
      <c r="J86" s="1">
        <v>0</v>
      </c>
      <c r="K86" s="1">
        <f>AVERAGE(M60:M61)</f>
        <v>0.51020408163265307</v>
      </c>
      <c r="L86" s="1">
        <v>0</v>
      </c>
      <c r="M86" s="1">
        <v>0</v>
      </c>
      <c r="N86" s="1">
        <v>36.1</v>
      </c>
      <c r="O86" s="1">
        <v>0</v>
      </c>
      <c r="P86" s="1">
        <f t="shared" si="17"/>
        <v>97.416526610644269</v>
      </c>
      <c r="R86" s="1">
        <f t="shared" si="18"/>
        <v>36.610204081632652</v>
      </c>
      <c r="T86" s="1" t="s">
        <v>72</v>
      </c>
      <c r="U86" s="1">
        <f t="shared" si="19"/>
        <v>13.221288515406163</v>
      </c>
      <c r="V86" s="1">
        <v>11.811224489795919</v>
      </c>
      <c r="W86" s="1">
        <v>0.51020408163265307</v>
      </c>
      <c r="X86" s="1">
        <v>0</v>
      </c>
      <c r="Y86" s="1">
        <v>36.1</v>
      </c>
      <c r="Z86" s="1">
        <v>0</v>
      </c>
      <c r="AA86" s="1">
        <f t="shared" si="20"/>
        <v>35.773809523809526</v>
      </c>
    </row>
    <row r="87" spans="1:27" ht="15.75" customHeight="1" x14ac:dyDescent="0.2">
      <c r="A87" s="1" t="s">
        <v>73</v>
      </c>
      <c r="B87" s="1" t="s">
        <v>29</v>
      </c>
      <c r="C87" s="1">
        <f t="shared" ref="C87:F87" si="26">AVERAGE(E63:E68)</f>
        <v>13.02746814369246</v>
      </c>
      <c r="D87" s="1">
        <f t="shared" si="26"/>
        <v>2.3232811150191286</v>
      </c>
      <c r="E87" s="1">
        <f t="shared" si="26"/>
        <v>23.523179400533852</v>
      </c>
      <c r="F87" s="1">
        <f t="shared" si="26"/>
        <v>7.2243286603303725</v>
      </c>
      <c r="G87" s="1">
        <v>0</v>
      </c>
      <c r="H87" s="1">
        <f>AVERAGE(J63:J68)</f>
        <v>0.49715970863231124</v>
      </c>
      <c r="I87" s="1">
        <v>0</v>
      </c>
      <c r="J87" s="1">
        <f>AVERAGE(L63:L68)</f>
        <v>9.0310752613834797</v>
      </c>
      <c r="K87" s="1">
        <v>0</v>
      </c>
      <c r="L87" s="1">
        <f>AVERAGE(N63:N68)</f>
        <v>0.61788402884293292</v>
      </c>
      <c r="M87" s="1">
        <v>0</v>
      </c>
      <c r="N87" s="5">
        <f>AVERAGE(P63:P68)</f>
        <v>42.185839299281085</v>
      </c>
      <c r="O87" s="1">
        <v>0</v>
      </c>
      <c r="P87" s="1">
        <f t="shared" si="17"/>
        <v>98.430215617715618</v>
      </c>
      <c r="R87" s="1">
        <f t="shared" si="18"/>
        <v>52.33195829813981</v>
      </c>
      <c r="T87" s="1" t="s">
        <v>73</v>
      </c>
      <c r="U87" s="1">
        <f t="shared" si="19"/>
        <v>15.350749258711588</v>
      </c>
      <c r="V87" s="1">
        <v>23.523179400533852</v>
      </c>
      <c r="W87" s="1">
        <v>0</v>
      </c>
      <c r="X87" s="1">
        <v>0</v>
      </c>
      <c r="Y87" s="1">
        <v>42.185839299281085</v>
      </c>
      <c r="Z87" s="1">
        <v>0.49715970863231124</v>
      </c>
      <c r="AA87" s="1">
        <f t="shared" si="20"/>
        <v>16.873287950556787</v>
      </c>
    </row>
    <row r="88" spans="1:27" ht="15.75" customHeight="1" x14ac:dyDescent="0.2">
      <c r="A88" s="1" t="s">
        <v>74</v>
      </c>
      <c r="B88" s="1" t="s">
        <v>25</v>
      </c>
      <c r="C88" s="1">
        <f t="shared" ref="C88:F88" si="27">AVERAGE(E69:E71)</f>
        <v>16.544217308801759</v>
      </c>
      <c r="D88" s="1">
        <f t="shared" si="27"/>
        <v>3.0965206773754832</v>
      </c>
      <c r="E88" s="1">
        <f t="shared" si="27"/>
        <v>9.5295025335548313</v>
      </c>
      <c r="F88" s="1">
        <f t="shared" si="27"/>
        <v>8.378980569515015</v>
      </c>
      <c r="G88" s="1">
        <v>0</v>
      </c>
      <c r="H88" s="1">
        <v>0</v>
      </c>
      <c r="I88" s="1">
        <v>0</v>
      </c>
      <c r="J88" s="1">
        <v>0</v>
      </c>
      <c r="K88" s="1">
        <f>AVERAGE(M69:M71)</f>
        <v>4.4982279403871273</v>
      </c>
      <c r="L88" s="1">
        <v>0</v>
      </c>
      <c r="M88" s="1">
        <f t="shared" ref="M88:N88" si="28">AVERAGE(O69:O71)</f>
        <v>40.76507872516742</v>
      </c>
      <c r="N88" s="1">
        <f t="shared" si="28"/>
        <v>5.7209297655814977</v>
      </c>
      <c r="O88" s="1">
        <f>AVERAGE(R69:R71)</f>
        <v>1.2406193597416169</v>
      </c>
      <c r="P88" s="1">
        <f t="shared" si="17"/>
        <v>89.774076880124753</v>
      </c>
      <c r="R88" s="1">
        <f t="shared" si="18"/>
        <v>52.224855790877655</v>
      </c>
      <c r="T88" s="1" t="s">
        <v>74</v>
      </c>
      <c r="U88" s="1">
        <f t="shared" si="19"/>
        <v>19.640737986177243</v>
      </c>
      <c r="V88" s="1">
        <v>9.5295025335548313</v>
      </c>
      <c r="W88" s="1">
        <v>4.4982279403871273</v>
      </c>
      <c r="X88" s="1">
        <v>40.76507872516742</v>
      </c>
      <c r="Y88" s="1">
        <v>5.7209297655814977</v>
      </c>
      <c r="Z88" s="1">
        <v>0</v>
      </c>
      <c r="AA88" s="1">
        <f t="shared" si="20"/>
        <v>9.6195999292566317</v>
      </c>
    </row>
    <row r="89" spans="1:27" ht="15.75" customHeight="1" x14ac:dyDescent="0.2"/>
    <row r="90" spans="1:27" ht="15.75" customHeight="1" x14ac:dyDescent="0.2"/>
    <row r="91" spans="1:27" ht="15.75" customHeight="1" x14ac:dyDescent="0.2"/>
    <row r="92" spans="1:27" ht="15.75" customHeight="1" x14ac:dyDescent="0.2"/>
    <row r="93" spans="1:27" ht="15.75" customHeight="1" x14ac:dyDescent="0.2"/>
    <row r="94" spans="1:27" ht="15.75" customHeight="1" x14ac:dyDescent="0.2"/>
    <row r="95" spans="1:27" ht="15.75" customHeight="1" x14ac:dyDescent="0.2"/>
    <row r="96" spans="1:27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1.28515625" defaultRowHeight="15" customHeight="1" x14ac:dyDescent="0.2"/>
  <cols>
    <col min="1" max="1" width="6" customWidth="1"/>
    <col min="2" max="2" width="25.42578125" customWidth="1"/>
    <col min="3" max="3" width="10" customWidth="1"/>
    <col min="4" max="4" width="15.42578125" customWidth="1"/>
    <col min="5" max="5" width="8.42578125" customWidth="1"/>
    <col min="6" max="20" width="11.7109375" customWidth="1"/>
    <col min="21" max="21" width="35.7109375" customWidth="1"/>
    <col min="22" max="22" width="18" customWidth="1"/>
    <col min="23" max="26" width="10.5703125" customWidth="1"/>
  </cols>
  <sheetData>
    <row r="1" spans="1:26" ht="15.75" customHeight="1" x14ac:dyDescent="0.2">
      <c r="A1" s="1" t="s">
        <v>0</v>
      </c>
      <c r="B1" s="1" t="s">
        <v>75</v>
      </c>
      <c r="C1" s="6" t="s">
        <v>76</v>
      </c>
      <c r="D1" s="6" t="s">
        <v>77</v>
      </c>
      <c r="E1" s="6" t="s">
        <v>78</v>
      </c>
      <c r="F1" s="6" t="s">
        <v>79</v>
      </c>
      <c r="G1" s="6" t="s">
        <v>80</v>
      </c>
      <c r="H1" s="6" t="s">
        <v>81</v>
      </c>
      <c r="I1" s="6" t="s">
        <v>82</v>
      </c>
      <c r="J1" s="6" t="s">
        <v>83</v>
      </c>
      <c r="K1" s="6" t="s">
        <v>84</v>
      </c>
      <c r="L1" s="6" t="s">
        <v>85</v>
      </c>
      <c r="M1" s="6" t="s">
        <v>86</v>
      </c>
      <c r="N1" s="6" t="s">
        <v>87</v>
      </c>
      <c r="O1" s="6" t="s">
        <v>88</v>
      </c>
      <c r="P1" s="7" t="s">
        <v>89</v>
      </c>
      <c r="Q1" s="7" t="s">
        <v>90</v>
      </c>
      <c r="R1" s="7" t="s">
        <v>91</v>
      </c>
      <c r="S1" s="7" t="s">
        <v>92</v>
      </c>
      <c r="T1" s="6" t="s">
        <v>93</v>
      </c>
      <c r="U1" s="1" t="s">
        <v>94</v>
      </c>
      <c r="V1" s="1" t="s">
        <v>95</v>
      </c>
    </row>
    <row r="2" spans="1:26" ht="15.75" customHeight="1" x14ac:dyDescent="0.2">
      <c r="A2" s="1" t="s">
        <v>96</v>
      </c>
      <c r="B2" s="1" t="s">
        <v>97</v>
      </c>
      <c r="C2" s="1">
        <v>1</v>
      </c>
      <c r="D2" s="1">
        <v>1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f t="shared" ref="U2:U11" si="0">SUM(C2:T2)</f>
        <v>2</v>
      </c>
    </row>
    <row r="3" spans="1:26" ht="15.75" customHeight="1" x14ac:dyDescent="0.2">
      <c r="A3" s="1" t="s">
        <v>96</v>
      </c>
      <c r="B3" s="1" t="s">
        <v>98</v>
      </c>
      <c r="C3" s="1">
        <v>3</v>
      </c>
      <c r="D3" s="1">
        <v>1</v>
      </c>
      <c r="E3" s="1">
        <v>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f t="shared" si="0"/>
        <v>5</v>
      </c>
    </row>
    <row r="4" spans="1:26" ht="15.75" customHeight="1" x14ac:dyDescent="0.2">
      <c r="A4" s="1" t="s">
        <v>96</v>
      </c>
      <c r="B4" s="1" t="s">
        <v>99</v>
      </c>
      <c r="C4" s="1">
        <v>3</v>
      </c>
      <c r="D4" s="1">
        <v>1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f t="shared" si="0"/>
        <v>4</v>
      </c>
    </row>
    <row r="5" spans="1:26" ht="15.75" customHeight="1" x14ac:dyDescent="0.2">
      <c r="A5" s="1" t="s">
        <v>96</v>
      </c>
      <c r="B5" s="1" t="s">
        <v>100</v>
      </c>
      <c r="C5" s="1">
        <v>4</v>
      </c>
      <c r="D5" s="1">
        <v>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f t="shared" si="0"/>
        <v>5</v>
      </c>
    </row>
    <row r="6" spans="1:26" ht="15.75" customHeight="1" x14ac:dyDescent="0.2">
      <c r="A6" s="1" t="s">
        <v>96</v>
      </c>
      <c r="B6" s="1" t="s">
        <v>101</v>
      </c>
      <c r="C6" s="1">
        <v>1</v>
      </c>
      <c r="D6" s="1">
        <v>1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f t="shared" si="0"/>
        <v>2</v>
      </c>
    </row>
    <row r="7" spans="1:26" ht="15.75" customHeight="1" x14ac:dyDescent="0.2">
      <c r="A7" s="1" t="s">
        <v>96</v>
      </c>
      <c r="B7" s="1" t="s">
        <v>102</v>
      </c>
      <c r="C7" s="1">
        <v>0</v>
      </c>
      <c r="D7" s="1">
        <v>0</v>
      </c>
      <c r="E7" s="1">
        <v>2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f t="shared" si="0"/>
        <v>2</v>
      </c>
    </row>
    <row r="8" spans="1:26" ht="15.75" customHeight="1" x14ac:dyDescent="0.2">
      <c r="A8" s="1" t="s">
        <v>96</v>
      </c>
      <c r="B8" s="1" t="s">
        <v>103</v>
      </c>
      <c r="C8" s="1">
        <v>1</v>
      </c>
      <c r="D8" s="1">
        <v>1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f t="shared" si="0"/>
        <v>3</v>
      </c>
    </row>
    <row r="9" spans="1:26" ht="15.75" customHeight="1" x14ac:dyDescent="0.2">
      <c r="A9" s="1" t="s">
        <v>96</v>
      </c>
      <c r="B9" s="1" t="s">
        <v>104</v>
      </c>
      <c r="C9" s="1">
        <v>2</v>
      </c>
      <c r="D9" s="1">
        <v>2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f t="shared" si="0"/>
        <v>4</v>
      </c>
    </row>
    <row r="10" spans="1:26" ht="15.75" customHeight="1" x14ac:dyDescent="0.2">
      <c r="A10" s="1" t="s">
        <v>96</v>
      </c>
      <c r="B10" s="1" t="s">
        <v>105</v>
      </c>
      <c r="C10" s="1">
        <v>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7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f t="shared" si="0"/>
        <v>2</v>
      </c>
    </row>
    <row r="11" spans="1:26" ht="15.75" customHeight="1" x14ac:dyDescent="0.2">
      <c r="A11" s="1" t="s">
        <v>96</v>
      </c>
      <c r="B11" s="1" t="s">
        <v>106</v>
      </c>
      <c r="C11" s="1">
        <v>3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f t="shared" si="0"/>
        <v>5</v>
      </c>
    </row>
    <row r="12" spans="1:26" ht="15.75" customHeight="1" x14ac:dyDescent="0.2">
      <c r="A12" s="8"/>
      <c r="B12" s="8"/>
      <c r="C12" s="8">
        <f t="shared" ref="C12:U12" si="1">AVERAGE(C2:C11)</f>
        <v>2</v>
      </c>
      <c r="D12" s="8">
        <f t="shared" si="1"/>
        <v>0.8</v>
      </c>
      <c r="E12" s="8">
        <f t="shared" si="1"/>
        <v>0.4</v>
      </c>
      <c r="F12" s="8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0.1</v>
      </c>
      <c r="L12" s="8">
        <f t="shared" si="1"/>
        <v>0.1</v>
      </c>
      <c r="M12" s="8">
        <f t="shared" si="1"/>
        <v>0</v>
      </c>
      <c r="N12" s="8">
        <f t="shared" si="1"/>
        <v>0</v>
      </c>
      <c r="O12" s="8">
        <f t="shared" si="1"/>
        <v>0</v>
      </c>
      <c r="P12" s="8">
        <f t="shared" si="1"/>
        <v>0</v>
      </c>
      <c r="Q12" s="8">
        <f t="shared" si="1"/>
        <v>0</v>
      </c>
      <c r="R12" s="8">
        <f t="shared" si="1"/>
        <v>0</v>
      </c>
      <c r="S12" s="8">
        <f t="shared" si="1"/>
        <v>0</v>
      </c>
      <c r="T12" s="8">
        <f t="shared" si="1"/>
        <v>0</v>
      </c>
      <c r="U12" s="8">
        <f t="shared" si="1"/>
        <v>3.4</v>
      </c>
      <c r="V12" s="8"/>
      <c r="W12" s="8"/>
      <c r="X12" s="8"/>
      <c r="Y12" s="8"/>
      <c r="Z12" s="8"/>
    </row>
    <row r="13" spans="1:26" ht="15.75" customHeight="1" x14ac:dyDescent="0.2">
      <c r="A13" s="1" t="s">
        <v>107</v>
      </c>
      <c r="B13" s="1" t="s">
        <v>108</v>
      </c>
      <c r="C13" s="1">
        <v>0</v>
      </c>
      <c r="D13" s="1">
        <v>0</v>
      </c>
      <c r="E13" s="1">
        <v>4</v>
      </c>
      <c r="F13" s="1">
        <v>0</v>
      </c>
      <c r="G13" s="1">
        <v>22</v>
      </c>
      <c r="H13" s="1">
        <v>0</v>
      </c>
      <c r="I13" s="1">
        <v>0</v>
      </c>
      <c r="J13" s="1">
        <v>0</v>
      </c>
      <c r="K13" s="1">
        <v>4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0</v>
      </c>
      <c r="S13" s="1">
        <v>0</v>
      </c>
      <c r="T13" s="1">
        <v>0</v>
      </c>
      <c r="U13" s="1">
        <f t="shared" ref="U13:U22" si="2">SUM(C13:T13)</f>
        <v>31</v>
      </c>
    </row>
    <row r="14" spans="1:26" ht="15.75" customHeight="1" x14ac:dyDescent="0.2">
      <c r="A14" s="1" t="s">
        <v>107</v>
      </c>
      <c r="B14" s="1" t="s">
        <v>109</v>
      </c>
      <c r="C14" s="1">
        <v>0</v>
      </c>
      <c r="D14" s="1">
        <v>0</v>
      </c>
      <c r="E14" s="1">
        <v>3</v>
      </c>
      <c r="F14" s="1">
        <v>0</v>
      </c>
      <c r="G14" s="1">
        <v>47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5</v>
      </c>
      <c r="Q14" s="1">
        <v>1</v>
      </c>
      <c r="R14" s="1">
        <v>0</v>
      </c>
      <c r="S14" s="1">
        <v>0</v>
      </c>
      <c r="T14" s="1">
        <v>0</v>
      </c>
      <c r="U14" s="1">
        <f t="shared" si="2"/>
        <v>56</v>
      </c>
    </row>
    <row r="15" spans="1:26" ht="15.75" customHeight="1" x14ac:dyDescent="0.2">
      <c r="A15" s="1" t="s">
        <v>107</v>
      </c>
      <c r="B15" s="1" t="s">
        <v>110</v>
      </c>
      <c r="C15" s="1">
        <v>1</v>
      </c>
      <c r="D15" s="1">
        <v>0</v>
      </c>
      <c r="E15" s="1">
        <v>3</v>
      </c>
      <c r="F15" s="1">
        <v>0</v>
      </c>
      <c r="G15" s="1">
        <v>34</v>
      </c>
      <c r="H15" s="1">
        <v>0</v>
      </c>
      <c r="I15" s="1">
        <v>0</v>
      </c>
      <c r="J15" s="1">
        <v>0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  <c r="P15" s="1">
        <v>1</v>
      </c>
      <c r="Q15" s="1">
        <v>1</v>
      </c>
      <c r="R15" s="1">
        <v>0</v>
      </c>
      <c r="S15" s="1">
        <v>0</v>
      </c>
      <c r="T15" s="1">
        <v>0</v>
      </c>
      <c r="U15" s="1">
        <f t="shared" si="2"/>
        <v>42</v>
      </c>
    </row>
    <row r="16" spans="1:26" ht="15.75" customHeight="1" x14ac:dyDescent="0.2">
      <c r="A16" s="1" t="s">
        <v>107</v>
      </c>
      <c r="B16" s="1" t="s">
        <v>111</v>
      </c>
      <c r="C16" s="1">
        <v>1</v>
      </c>
      <c r="D16" s="1">
        <v>0</v>
      </c>
      <c r="E16" s="1">
        <v>4</v>
      </c>
      <c r="F16" s="1">
        <v>0</v>
      </c>
      <c r="G16" s="1">
        <v>46</v>
      </c>
      <c r="H16" s="1">
        <v>0</v>
      </c>
      <c r="I16" s="1">
        <v>0</v>
      </c>
      <c r="J16" s="1">
        <v>0</v>
      </c>
      <c r="K16" s="1">
        <v>1</v>
      </c>
      <c r="L16" s="1">
        <v>4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0</v>
      </c>
      <c r="S16" s="1">
        <v>0</v>
      </c>
      <c r="T16" s="1">
        <v>0</v>
      </c>
      <c r="U16" s="1">
        <f t="shared" si="2"/>
        <v>57</v>
      </c>
    </row>
    <row r="17" spans="1:26" ht="15.75" customHeight="1" x14ac:dyDescent="0.2">
      <c r="A17" s="1" t="s">
        <v>107</v>
      </c>
      <c r="B17" s="1" t="s">
        <v>112</v>
      </c>
      <c r="C17" s="1">
        <v>0</v>
      </c>
      <c r="D17" s="1">
        <v>0</v>
      </c>
      <c r="E17" s="1">
        <v>3</v>
      </c>
      <c r="F17" s="1">
        <v>0</v>
      </c>
      <c r="G17" s="1">
        <v>39</v>
      </c>
      <c r="H17" s="1">
        <v>0</v>
      </c>
      <c r="I17" s="1">
        <v>0</v>
      </c>
      <c r="J17" s="1">
        <v>0</v>
      </c>
      <c r="K17" s="1">
        <v>3</v>
      </c>
      <c r="L17" s="1">
        <v>4</v>
      </c>
      <c r="M17" s="1">
        <v>0</v>
      </c>
      <c r="N17" s="1">
        <v>0</v>
      </c>
      <c r="O17" s="1">
        <v>0</v>
      </c>
      <c r="P17" s="1">
        <v>0</v>
      </c>
      <c r="Q17" s="1">
        <v>1</v>
      </c>
      <c r="R17" s="1">
        <v>0</v>
      </c>
      <c r="S17" s="1">
        <v>0</v>
      </c>
      <c r="T17" s="1">
        <v>0</v>
      </c>
      <c r="U17" s="1">
        <f t="shared" si="2"/>
        <v>50</v>
      </c>
    </row>
    <row r="18" spans="1:26" ht="15.75" customHeight="1" x14ac:dyDescent="0.2">
      <c r="A18" s="1" t="s">
        <v>107</v>
      </c>
      <c r="B18" s="1" t="s">
        <v>113</v>
      </c>
      <c r="C18" s="1">
        <v>0</v>
      </c>
      <c r="D18" s="1">
        <v>0</v>
      </c>
      <c r="E18" s="1">
        <v>4</v>
      </c>
      <c r="F18" s="1">
        <v>0</v>
      </c>
      <c r="G18" s="1">
        <v>40</v>
      </c>
      <c r="H18" s="1">
        <v>0</v>
      </c>
      <c r="I18" s="1">
        <v>0</v>
      </c>
      <c r="J18" s="1">
        <v>0</v>
      </c>
      <c r="K18" s="1">
        <v>8</v>
      </c>
      <c r="L18" s="1">
        <v>2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0</v>
      </c>
      <c r="S18" s="1">
        <v>0</v>
      </c>
      <c r="T18" s="1">
        <v>0</v>
      </c>
      <c r="U18" s="1">
        <f t="shared" si="2"/>
        <v>55</v>
      </c>
    </row>
    <row r="19" spans="1:26" ht="15.75" customHeight="1" x14ac:dyDescent="0.2">
      <c r="A19" s="1" t="s">
        <v>107</v>
      </c>
      <c r="B19" s="1" t="s">
        <v>114</v>
      </c>
      <c r="C19" s="1">
        <v>0</v>
      </c>
      <c r="D19" s="1">
        <v>0</v>
      </c>
      <c r="E19" s="1">
        <v>5</v>
      </c>
      <c r="F19" s="1">
        <v>0</v>
      </c>
      <c r="G19" s="1">
        <v>33</v>
      </c>
      <c r="H19" s="1">
        <v>0</v>
      </c>
      <c r="I19" s="1">
        <v>0</v>
      </c>
      <c r="J19" s="1">
        <v>0</v>
      </c>
      <c r="K19" s="1">
        <v>4</v>
      </c>
      <c r="L19" s="1">
        <v>3</v>
      </c>
      <c r="M19" s="1">
        <v>0</v>
      </c>
      <c r="N19" s="1">
        <v>0</v>
      </c>
      <c r="O19" s="1">
        <v>0</v>
      </c>
      <c r="P19" s="1">
        <v>1</v>
      </c>
      <c r="Q19" s="1">
        <v>1</v>
      </c>
      <c r="R19" s="1">
        <v>0</v>
      </c>
      <c r="S19" s="1">
        <v>0</v>
      </c>
      <c r="T19" s="1">
        <v>0</v>
      </c>
      <c r="U19" s="1">
        <f t="shared" si="2"/>
        <v>47</v>
      </c>
    </row>
    <row r="20" spans="1:26" ht="15.75" customHeight="1" x14ac:dyDescent="0.2">
      <c r="A20" s="1" t="s">
        <v>107</v>
      </c>
      <c r="B20" s="1" t="s">
        <v>115</v>
      </c>
      <c r="C20" s="1">
        <v>0</v>
      </c>
      <c r="D20" s="1">
        <v>0</v>
      </c>
      <c r="E20" s="1">
        <v>3</v>
      </c>
      <c r="F20" s="1">
        <v>0</v>
      </c>
      <c r="G20" s="1">
        <v>31</v>
      </c>
      <c r="H20" s="1">
        <v>0</v>
      </c>
      <c r="I20" s="1">
        <v>0</v>
      </c>
      <c r="J20" s="1">
        <v>0</v>
      </c>
      <c r="K20" s="1">
        <v>0</v>
      </c>
      <c r="L20" s="1">
        <v>2</v>
      </c>
      <c r="M20" s="1">
        <v>0</v>
      </c>
      <c r="N20" s="1">
        <v>0</v>
      </c>
      <c r="O20" s="1">
        <v>0</v>
      </c>
      <c r="P20" s="1">
        <v>1</v>
      </c>
      <c r="Q20" s="1">
        <v>1</v>
      </c>
      <c r="R20" s="1">
        <v>0</v>
      </c>
      <c r="S20" s="1">
        <v>0</v>
      </c>
      <c r="T20" s="1">
        <v>0</v>
      </c>
      <c r="U20" s="1">
        <f t="shared" si="2"/>
        <v>38</v>
      </c>
    </row>
    <row r="21" spans="1:26" ht="15.75" customHeight="1" x14ac:dyDescent="0.2">
      <c r="A21" s="1" t="s">
        <v>107</v>
      </c>
      <c r="B21" s="1" t="s">
        <v>116</v>
      </c>
      <c r="C21" s="1">
        <v>0</v>
      </c>
      <c r="D21" s="1">
        <v>0</v>
      </c>
      <c r="E21" s="1">
        <v>3</v>
      </c>
      <c r="F21" s="1">
        <v>0</v>
      </c>
      <c r="G21" s="1">
        <v>41</v>
      </c>
      <c r="H21" s="1">
        <v>0</v>
      </c>
      <c r="I21" s="1">
        <v>0</v>
      </c>
      <c r="J21" s="1">
        <v>0</v>
      </c>
      <c r="K21" s="1">
        <v>1</v>
      </c>
      <c r="L21" s="1">
        <v>4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f t="shared" si="2"/>
        <v>51</v>
      </c>
    </row>
    <row r="22" spans="1:26" ht="15.75" customHeight="1" x14ac:dyDescent="0.2">
      <c r="A22" s="1" t="s">
        <v>107</v>
      </c>
      <c r="B22" s="1" t="s">
        <v>117</v>
      </c>
      <c r="C22" s="1">
        <v>0</v>
      </c>
      <c r="D22" s="1">
        <v>0</v>
      </c>
      <c r="E22" s="1">
        <v>3</v>
      </c>
      <c r="F22" s="1">
        <v>0</v>
      </c>
      <c r="G22" s="1">
        <v>22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1</v>
      </c>
      <c r="Q22" s="1">
        <v>0</v>
      </c>
      <c r="R22" s="1">
        <v>0</v>
      </c>
      <c r="S22" s="1">
        <v>1</v>
      </c>
      <c r="T22" s="1">
        <v>0</v>
      </c>
      <c r="U22" s="1">
        <f t="shared" si="2"/>
        <v>28</v>
      </c>
    </row>
    <row r="23" spans="1:26" ht="15.75" customHeight="1" x14ac:dyDescent="0.2">
      <c r="A23" s="8"/>
      <c r="B23" s="8"/>
      <c r="C23" s="8">
        <f t="shared" ref="C23:U23" si="3">AVERAGE(C13:C22)</f>
        <v>0.2</v>
      </c>
      <c r="D23" s="8">
        <f t="shared" si="3"/>
        <v>0</v>
      </c>
      <c r="E23" s="8">
        <f t="shared" si="3"/>
        <v>3.5</v>
      </c>
      <c r="F23" s="8">
        <f t="shared" si="3"/>
        <v>0</v>
      </c>
      <c r="G23" s="8">
        <f t="shared" si="3"/>
        <v>35.5</v>
      </c>
      <c r="H23" s="8">
        <f t="shared" si="3"/>
        <v>0</v>
      </c>
      <c r="I23" s="8">
        <f t="shared" si="3"/>
        <v>0</v>
      </c>
      <c r="J23" s="8">
        <f t="shared" si="3"/>
        <v>0</v>
      </c>
      <c r="K23" s="8">
        <f t="shared" si="3"/>
        <v>2.2999999999999998</v>
      </c>
      <c r="L23" s="8">
        <f t="shared" si="3"/>
        <v>2</v>
      </c>
      <c r="M23" s="8">
        <f t="shared" si="3"/>
        <v>0</v>
      </c>
      <c r="N23" s="8">
        <f t="shared" si="3"/>
        <v>0</v>
      </c>
      <c r="O23" s="8">
        <f t="shared" si="3"/>
        <v>0</v>
      </c>
      <c r="P23" s="8">
        <f t="shared" si="3"/>
        <v>1</v>
      </c>
      <c r="Q23" s="8">
        <f t="shared" si="3"/>
        <v>0.9</v>
      </c>
      <c r="R23" s="8">
        <f t="shared" si="3"/>
        <v>0</v>
      </c>
      <c r="S23" s="8">
        <f t="shared" si="3"/>
        <v>0.1</v>
      </c>
      <c r="T23" s="8">
        <f t="shared" si="3"/>
        <v>0</v>
      </c>
      <c r="U23" s="8">
        <f t="shared" si="3"/>
        <v>45.5</v>
      </c>
      <c r="V23" s="8"/>
      <c r="W23" s="8"/>
      <c r="X23" s="8"/>
      <c r="Y23" s="8"/>
      <c r="Z23" s="8"/>
    </row>
    <row r="24" spans="1:26" ht="15.75" customHeight="1" x14ac:dyDescent="0.2"/>
    <row r="25" spans="1:26" ht="15.75" customHeight="1" x14ac:dyDescent="0.2"/>
    <row r="26" spans="1:26" ht="15.75" customHeight="1" x14ac:dyDescent="0.2">
      <c r="A26" s="4" t="s">
        <v>0</v>
      </c>
      <c r="B26" s="4" t="s">
        <v>118</v>
      </c>
      <c r="C26" s="4" t="s">
        <v>119</v>
      </c>
    </row>
    <row r="27" spans="1:26" ht="15.75" customHeight="1" x14ac:dyDescent="0.2">
      <c r="A27" s="1" t="s">
        <v>96</v>
      </c>
      <c r="B27" s="1">
        <f>AVERAGE(U2:U11)</f>
        <v>3.4</v>
      </c>
      <c r="C27" s="1">
        <f>STDEV(U2:U11)</f>
        <v>1.3498971154211061</v>
      </c>
    </row>
    <row r="28" spans="1:26" ht="15.75" customHeight="1" x14ac:dyDescent="0.2">
      <c r="A28" s="1" t="s">
        <v>107</v>
      </c>
      <c r="B28" s="1">
        <f>AVERAGE(U13:U22)</f>
        <v>45.5</v>
      </c>
      <c r="C28" s="1">
        <f>STDEV(U13:U22)</f>
        <v>10.384282995630143</v>
      </c>
    </row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baseColWidth="10" defaultColWidth="11.28515625" defaultRowHeight="15" customHeight="1" x14ac:dyDescent="0.2"/>
  <cols>
    <col min="1" max="1" width="10.5703125" customWidth="1"/>
    <col min="2" max="2" width="40.7109375" customWidth="1"/>
    <col min="3" max="3" width="25.28515625" customWidth="1"/>
    <col min="4" max="26" width="10.5703125" customWidth="1"/>
  </cols>
  <sheetData>
    <row r="1" spans="1:4" ht="15.75" customHeight="1" x14ac:dyDescent="0.2">
      <c r="A1" s="1" t="s">
        <v>0</v>
      </c>
      <c r="B1" s="1" t="s">
        <v>120</v>
      </c>
      <c r="C1" s="1" t="s">
        <v>121</v>
      </c>
      <c r="D1" s="1" t="s">
        <v>122</v>
      </c>
    </row>
    <row r="2" spans="1:4" ht="15.75" customHeight="1" x14ac:dyDescent="0.2">
      <c r="A2" s="1" t="s">
        <v>96</v>
      </c>
      <c r="B2" s="6" t="s">
        <v>123</v>
      </c>
      <c r="C2" s="1" t="s">
        <v>124</v>
      </c>
      <c r="D2" s="1">
        <v>0</v>
      </c>
    </row>
    <row r="3" spans="1:4" ht="15.75" customHeight="1" x14ac:dyDescent="0.2">
      <c r="A3" s="1" t="s">
        <v>96</v>
      </c>
      <c r="B3" s="6" t="s">
        <v>125</v>
      </c>
      <c r="C3" s="1" t="s">
        <v>124</v>
      </c>
      <c r="D3" s="1">
        <v>1</v>
      </c>
    </row>
    <row r="4" spans="1:4" ht="15.75" customHeight="1" x14ac:dyDescent="0.2">
      <c r="A4" s="1" t="s">
        <v>96</v>
      </c>
      <c r="B4" s="6" t="s">
        <v>126</v>
      </c>
      <c r="C4" s="1" t="s">
        <v>124</v>
      </c>
      <c r="D4" s="1">
        <v>2</v>
      </c>
    </row>
    <row r="5" spans="1:4" ht="15.75" customHeight="1" x14ac:dyDescent="0.2">
      <c r="A5" s="1" t="s">
        <v>96</v>
      </c>
      <c r="B5" s="6" t="s">
        <v>127</v>
      </c>
      <c r="C5" s="1" t="s">
        <v>124</v>
      </c>
      <c r="D5" s="1">
        <v>3</v>
      </c>
    </row>
    <row r="6" spans="1:4" ht="15.75" customHeight="1" x14ac:dyDescent="0.2">
      <c r="A6" s="1" t="s">
        <v>96</v>
      </c>
      <c r="B6" s="6" t="s">
        <v>128</v>
      </c>
      <c r="C6" s="1" t="s">
        <v>124</v>
      </c>
      <c r="D6" s="1">
        <v>4</v>
      </c>
    </row>
    <row r="7" spans="1:4" ht="15.75" customHeight="1" x14ac:dyDescent="0.2">
      <c r="A7" s="1" t="s">
        <v>96</v>
      </c>
      <c r="B7" s="6" t="s">
        <v>129</v>
      </c>
      <c r="C7" s="1" t="s">
        <v>124</v>
      </c>
      <c r="D7" s="1">
        <v>5</v>
      </c>
    </row>
    <row r="8" spans="1:4" ht="15.75" customHeight="1" x14ac:dyDescent="0.2">
      <c r="A8" s="1" t="s">
        <v>96</v>
      </c>
      <c r="B8" s="6" t="s">
        <v>130</v>
      </c>
      <c r="C8" s="1" t="s">
        <v>124</v>
      </c>
      <c r="D8" s="1">
        <v>6</v>
      </c>
    </row>
    <row r="9" spans="1:4" ht="15.75" customHeight="1" x14ac:dyDescent="0.2">
      <c r="A9" s="1" t="s">
        <v>96</v>
      </c>
      <c r="B9" s="6" t="s">
        <v>131</v>
      </c>
      <c r="C9" s="1" t="s">
        <v>124</v>
      </c>
      <c r="D9" s="1">
        <v>7</v>
      </c>
    </row>
    <row r="10" spans="1:4" ht="15.75" customHeight="1" x14ac:dyDescent="0.2">
      <c r="A10" s="1" t="s">
        <v>96</v>
      </c>
      <c r="B10" s="6" t="s">
        <v>132</v>
      </c>
      <c r="C10" s="1" t="s">
        <v>124</v>
      </c>
      <c r="D10" s="1">
        <v>8</v>
      </c>
    </row>
    <row r="11" spans="1:4" ht="15.75" customHeight="1" x14ac:dyDescent="0.2">
      <c r="A11" s="1" t="s">
        <v>96</v>
      </c>
      <c r="B11" s="6" t="s">
        <v>133</v>
      </c>
      <c r="C11" s="1" t="s">
        <v>124</v>
      </c>
      <c r="D11" s="1">
        <v>9</v>
      </c>
    </row>
    <row r="12" spans="1:4" ht="15.75" customHeight="1" x14ac:dyDescent="0.2">
      <c r="A12" s="1" t="s">
        <v>96</v>
      </c>
      <c r="B12" s="6" t="s">
        <v>134</v>
      </c>
      <c r="C12" s="1" t="s">
        <v>124</v>
      </c>
      <c r="D12" s="1">
        <v>10</v>
      </c>
    </row>
    <row r="13" spans="1:4" ht="15.75" customHeight="1" x14ac:dyDescent="0.2">
      <c r="A13" s="1" t="s">
        <v>96</v>
      </c>
      <c r="B13" s="6" t="s">
        <v>135</v>
      </c>
      <c r="C13" s="1" t="s">
        <v>124</v>
      </c>
      <c r="D13" s="1">
        <v>11</v>
      </c>
    </row>
    <row r="14" spans="1:4" ht="15.75" customHeight="1" x14ac:dyDescent="0.2">
      <c r="A14" s="1" t="s">
        <v>96</v>
      </c>
      <c r="B14" s="6" t="s">
        <v>136</v>
      </c>
      <c r="C14" s="1" t="s">
        <v>124</v>
      </c>
      <c r="D14" s="1">
        <v>12</v>
      </c>
    </row>
    <row r="15" spans="1:4" ht="15.75" customHeight="1" x14ac:dyDescent="0.2">
      <c r="A15" s="1" t="s">
        <v>107</v>
      </c>
      <c r="B15" s="7" t="s">
        <v>137</v>
      </c>
      <c r="C15" s="1" t="s">
        <v>138</v>
      </c>
    </row>
    <row r="16" spans="1:4" ht="15.75" customHeight="1" x14ac:dyDescent="0.2">
      <c r="A16" s="1" t="s">
        <v>107</v>
      </c>
      <c r="B16" s="7" t="s">
        <v>139</v>
      </c>
      <c r="C16" s="1" t="s">
        <v>138</v>
      </c>
      <c r="D16" s="1">
        <v>13</v>
      </c>
    </row>
    <row r="17" spans="1:4" ht="15.75" customHeight="1" x14ac:dyDescent="0.2">
      <c r="A17" s="1" t="s">
        <v>107</v>
      </c>
      <c r="B17" s="7" t="s">
        <v>140</v>
      </c>
      <c r="C17" s="1" t="s">
        <v>138</v>
      </c>
    </row>
    <row r="18" spans="1:4" ht="15.75" customHeight="1" x14ac:dyDescent="0.2">
      <c r="A18" s="1" t="s">
        <v>107</v>
      </c>
      <c r="B18" s="7" t="s">
        <v>141</v>
      </c>
      <c r="C18" s="1" t="s">
        <v>138</v>
      </c>
    </row>
    <row r="19" spans="1:4" ht="15.75" customHeight="1" x14ac:dyDescent="0.2">
      <c r="A19" s="1" t="s">
        <v>107</v>
      </c>
      <c r="B19" s="7" t="s">
        <v>142</v>
      </c>
      <c r="C19" s="1" t="s">
        <v>138</v>
      </c>
      <c r="D19" s="1">
        <v>14</v>
      </c>
    </row>
    <row r="20" spans="1:4" ht="15.75" customHeight="1" x14ac:dyDescent="0.2">
      <c r="A20" s="1" t="s">
        <v>107</v>
      </c>
      <c r="B20" s="7" t="s">
        <v>143</v>
      </c>
      <c r="C20" s="1" t="s">
        <v>138</v>
      </c>
    </row>
    <row r="21" spans="1:4" ht="15.75" customHeight="1" x14ac:dyDescent="0.2">
      <c r="A21" s="1" t="s">
        <v>107</v>
      </c>
      <c r="B21" s="7" t="s">
        <v>144</v>
      </c>
      <c r="C21" s="1" t="s">
        <v>138</v>
      </c>
      <c r="D21" s="1">
        <v>15</v>
      </c>
    </row>
    <row r="22" spans="1:4" ht="15.75" customHeight="1" x14ac:dyDescent="0.2">
      <c r="A22" s="1" t="s">
        <v>107</v>
      </c>
      <c r="B22" s="7" t="s">
        <v>145</v>
      </c>
      <c r="C22" s="1" t="s">
        <v>138</v>
      </c>
      <c r="D22" s="1">
        <v>16</v>
      </c>
    </row>
    <row r="23" spans="1:4" ht="15.75" customHeight="1" x14ac:dyDescent="0.2">
      <c r="A23" s="1" t="s">
        <v>107</v>
      </c>
      <c r="B23" s="7" t="s">
        <v>146</v>
      </c>
      <c r="C23" s="1" t="s">
        <v>138</v>
      </c>
      <c r="D23" s="1">
        <v>17</v>
      </c>
    </row>
    <row r="24" spans="1:4" ht="15.75" customHeight="1" x14ac:dyDescent="0.2">
      <c r="A24" s="1" t="s">
        <v>147</v>
      </c>
      <c r="B24" s="6" t="s">
        <v>148</v>
      </c>
      <c r="C24" s="1" t="s">
        <v>149</v>
      </c>
    </row>
    <row r="25" spans="1:4" ht="15.75" customHeight="1" x14ac:dyDescent="0.2"/>
    <row r="26" spans="1:4" ht="15.75" customHeight="1" x14ac:dyDescent="0.2"/>
    <row r="27" spans="1:4" ht="15.75" customHeight="1" x14ac:dyDescent="0.2"/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baseColWidth="10" defaultColWidth="11.28515625" defaultRowHeight="15" customHeight="1" x14ac:dyDescent="0.2"/>
  <cols>
    <col min="1" max="1" width="40.42578125" customWidth="1"/>
    <col min="2" max="2" width="24.140625" customWidth="1"/>
    <col min="3" max="3" width="33" customWidth="1"/>
    <col min="4" max="26" width="10.5703125" customWidth="1"/>
  </cols>
  <sheetData>
    <row r="1" spans="1:3" ht="15.75" customHeight="1" x14ac:dyDescent="0.2">
      <c r="A1" s="9" t="s">
        <v>150</v>
      </c>
      <c r="B1" s="9" t="s">
        <v>151</v>
      </c>
      <c r="C1" s="9" t="s">
        <v>152</v>
      </c>
    </row>
    <row r="2" spans="1:3" ht="15.75" customHeight="1" x14ac:dyDescent="0.2">
      <c r="A2" s="6" t="s">
        <v>153</v>
      </c>
    </row>
    <row r="3" spans="1:3" ht="15.75" customHeight="1" x14ac:dyDescent="0.2">
      <c r="A3" s="6" t="s">
        <v>154</v>
      </c>
      <c r="B3" s="7">
        <v>2.11</v>
      </c>
      <c r="C3" s="7" t="s">
        <v>155</v>
      </c>
    </row>
    <row r="4" spans="1:3" ht="15.75" customHeight="1" x14ac:dyDescent="0.2">
      <c r="A4" s="6" t="s">
        <v>156</v>
      </c>
      <c r="B4" s="7">
        <v>0.77</v>
      </c>
      <c r="C4" s="7" t="s">
        <v>157</v>
      </c>
    </row>
    <row r="5" spans="1:3" ht="15.75" customHeight="1" x14ac:dyDescent="0.2">
      <c r="A5" s="6" t="s">
        <v>158</v>
      </c>
      <c r="B5" s="7">
        <v>0.64</v>
      </c>
      <c r="C5" s="7" t="s">
        <v>157</v>
      </c>
    </row>
    <row r="6" spans="1:3" ht="15.75" customHeight="1" x14ac:dyDescent="0.2">
      <c r="A6" s="6" t="s">
        <v>159</v>
      </c>
      <c r="B6" s="7">
        <v>0.13</v>
      </c>
      <c r="C6" s="7" t="s">
        <v>155</v>
      </c>
    </row>
    <row r="7" spans="1:3" ht="15.75" customHeight="1" x14ac:dyDescent="0.2">
      <c r="A7" s="6" t="s">
        <v>160</v>
      </c>
      <c r="B7" s="7">
        <v>0.06</v>
      </c>
      <c r="C7" s="7" t="s">
        <v>155</v>
      </c>
    </row>
    <row r="8" spans="1:3" ht="15.75" customHeight="1" x14ac:dyDescent="0.2">
      <c r="A8" s="6" t="s">
        <v>161</v>
      </c>
      <c r="B8" s="7">
        <v>0.06</v>
      </c>
      <c r="C8" s="7" t="s">
        <v>155</v>
      </c>
    </row>
    <row r="9" spans="1:3" ht="15.75" customHeight="1" x14ac:dyDescent="0.2">
      <c r="A9" s="6" t="s">
        <v>162</v>
      </c>
      <c r="B9" s="7">
        <v>0.06</v>
      </c>
      <c r="C9" s="7" t="s">
        <v>155</v>
      </c>
    </row>
    <row r="10" spans="1:3" ht="15.75" customHeight="1" x14ac:dyDescent="0.2">
      <c r="A10" s="6" t="s">
        <v>163</v>
      </c>
      <c r="B10" s="7">
        <v>0.06</v>
      </c>
      <c r="C10" s="7" t="s">
        <v>155</v>
      </c>
    </row>
    <row r="11" spans="1:3" ht="15.75" customHeight="1" x14ac:dyDescent="0.2">
      <c r="A11" s="6" t="s">
        <v>164</v>
      </c>
      <c r="C11" s="7" t="s">
        <v>165</v>
      </c>
    </row>
    <row r="12" spans="1:3" ht="15.75" customHeight="1" x14ac:dyDescent="0.2">
      <c r="A12" s="6" t="s">
        <v>166</v>
      </c>
      <c r="C12" s="7" t="s">
        <v>165</v>
      </c>
    </row>
    <row r="13" spans="1:3" ht="15.75" customHeight="1" x14ac:dyDescent="0.2">
      <c r="A13" s="6" t="s">
        <v>167</v>
      </c>
      <c r="C13" s="7" t="s">
        <v>165</v>
      </c>
    </row>
    <row r="14" spans="1:3" ht="15.75" customHeight="1" x14ac:dyDescent="0.2">
      <c r="A14" s="6" t="s">
        <v>168</v>
      </c>
      <c r="C14" s="7" t="s">
        <v>165</v>
      </c>
    </row>
    <row r="15" spans="1:3" ht="15.75" customHeight="1" x14ac:dyDescent="0.2">
      <c r="A15" s="6" t="s">
        <v>169</v>
      </c>
      <c r="C15" s="7" t="s">
        <v>165</v>
      </c>
    </row>
    <row r="16" spans="1:3" ht="15.75" customHeight="1" x14ac:dyDescent="0.2">
      <c r="A16" s="9" t="s">
        <v>65</v>
      </c>
      <c r="B16" s="1">
        <f>SUM(B3:B10)</f>
        <v>3.89</v>
      </c>
      <c r="C16" s="7"/>
    </row>
    <row r="17" spans="1:3" ht="15.75" customHeight="1" x14ac:dyDescent="0.2">
      <c r="A17" s="6"/>
      <c r="C17" s="7"/>
    </row>
    <row r="18" spans="1:3" ht="15.75" customHeight="1" x14ac:dyDescent="0.2"/>
    <row r="19" spans="1:3" ht="15.75" customHeight="1" x14ac:dyDescent="0.2">
      <c r="A19" s="6" t="s">
        <v>170</v>
      </c>
    </row>
    <row r="20" spans="1:3" ht="15.75" customHeight="1" x14ac:dyDescent="0.2">
      <c r="A20" s="7" t="s">
        <v>171</v>
      </c>
      <c r="B20" s="7">
        <v>1.1499999999999999</v>
      </c>
      <c r="C20" s="7" t="s">
        <v>172</v>
      </c>
    </row>
    <row r="21" spans="1:3" ht="15.75" customHeight="1" x14ac:dyDescent="0.2">
      <c r="A21" s="7" t="s">
        <v>173</v>
      </c>
      <c r="B21" s="7">
        <v>0.46</v>
      </c>
      <c r="C21" s="7" t="s">
        <v>155</v>
      </c>
    </row>
    <row r="22" spans="1:3" ht="15.75" customHeight="1" x14ac:dyDescent="0.2">
      <c r="A22" s="7" t="s">
        <v>174</v>
      </c>
      <c r="B22" s="7">
        <v>0.46</v>
      </c>
      <c r="C22" s="7" t="s">
        <v>172</v>
      </c>
    </row>
    <row r="23" spans="1:3" ht="15.75" customHeight="1" x14ac:dyDescent="0.2">
      <c r="A23" s="7" t="s">
        <v>175</v>
      </c>
      <c r="B23" s="7">
        <v>0.35</v>
      </c>
      <c r="C23" s="7" t="s">
        <v>155</v>
      </c>
    </row>
    <row r="24" spans="1:3" ht="15.75" customHeight="1" x14ac:dyDescent="0.2">
      <c r="A24" s="7" t="s">
        <v>176</v>
      </c>
      <c r="B24" s="7">
        <v>0.12</v>
      </c>
      <c r="C24" s="7" t="s">
        <v>177</v>
      </c>
    </row>
    <row r="25" spans="1:3" ht="15.75" customHeight="1" x14ac:dyDescent="0.2">
      <c r="A25" s="7" t="s">
        <v>178</v>
      </c>
      <c r="B25" s="7">
        <v>0.12</v>
      </c>
      <c r="C25" s="7" t="s">
        <v>179</v>
      </c>
    </row>
    <row r="26" spans="1:3" ht="15.75" customHeight="1" x14ac:dyDescent="0.2">
      <c r="A26" s="7" t="s">
        <v>180</v>
      </c>
      <c r="C26" s="7" t="s">
        <v>165</v>
      </c>
    </row>
    <row r="27" spans="1:3" ht="15.75" customHeight="1" x14ac:dyDescent="0.2">
      <c r="A27" s="7" t="s">
        <v>181</v>
      </c>
      <c r="C27" s="7" t="s">
        <v>182</v>
      </c>
    </row>
    <row r="28" spans="1:3" ht="15.75" customHeight="1" x14ac:dyDescent="0.2">
      <c r="A28" s="7" t="s">
        <v>183</v>
      </c>
      <c r="C28" s="7" t="s">
        <v>165</v>
      </c>
    </row>
    <row r="29" spans="1:3" ht="15.75" customHeight="1" x14ac:dyDescent="0.2">
      <c r="A29" s="9" t="s">
        <v>65</v>
      </c>
      <c r="B29" s="1">
        <f>SUM(B20:B25)</f>
        <v>2.66</v>
      </c>
      <c r="C29" s="7"/>
    </row>
    <row r="30" spans="1:3" ht="15.75" customHeight="1" x14ac:dyDescent="0.2">
      <c r="A30" s="7"/>
      <c r="C30" s="7"/>
    </row>
    <row r="31" spans="1:3" ht="15.75" customHeight="1" x14ac:dyDescent="0.2"/>
    <row r="32" spans="1:3" ht="15.75" customHeight="1" x14ac:dyDescent="0.2">
      <c r="A32" s="6" t="s">
        <v>184</v>
      </c>
    </row>
    <row r="33" spans="1:3" ht="15.75" customHeight="1" x14ac:dyDescent="0.2">
      <c r="A33" s="6" t="s">
        <v>185</v>
      </c>
      <c r="C33" s="7" t="s">
        <v>177</v>
      </c>
    </row>
    <row r="34" spans="1:3" ht="15.75" customHeight="1" x14ac:dyDescent="0.2"/>
    <row r="35" spans="1:3" ht="15.75" customHeight="1" x14ac:dyDescent="0.2"/>
    <row r="36" spans="1:3" ht="15.75" customHeight="1" x14ac:dyDescent="0.2"/>
    <row r="37" spans="1:3" ht="15.75" customHeight="1" x14ac:dyDescent="0.2"/>
    <row r="38" spans="1:3" ht="15.75" customHeight="1" x14ac:dyDescent="0.2"/>
    <row r="39" spans="1:3" ht="15.75" customHeight="1" x14ac:dyDescent="0.2"/>
    <row r="40" spans="1:3" ht="15.75" customHeight="1" x14ac:dyDescent="0.2"/>
    <row r="41" spans="1:3" ht="15.75" customHeight="1" x14ac:dyDescent="0.2"/>
    <row r="42" spans="1:3" ht="15.75" customHeight="1" x14ac:dyDescent="0.2"/>
    <row r="43" spans="1:3" ht="15.75" customHeight="1" x14ac:dyDescent="0.2"/>
    <row r="44" spans="1:3" ht="15.75" customHeight="1" x14ac:dyDescent="0.2"/>
    <row r="45" spans="1:3" ht="15.75" customHeight="1" x14ac:dyDescent="0.2"/>
    <row r="46" spans="1:3" ht="15.75" customHeight="1" x14ac:dyDescent="0.2"/>
    <row r="47" spans="1:3" ht="15.75" customHeight="1" x14ac:dyDescent="0.2"/>
    <row r="48" spans="1: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Dataframe</vt:lpstr>
      <vt:lpstr>Fish_Abun</vt:lpstr>
      <vt:lpstr>Fish_Species</vt:lpstr>
      <vt:lpstr>Bites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Emily Higgins</cp:lastModifiedBy>
  <dcterms:created xsi:type="dcterms:W3CDTF">2020-02-05T15:43:33Z</dcterms:created>
  <dcterms:modified xsi:type="dcterms:W3CDTF">2021-08-26T22:07:09Z</dcterms:modified>
</cp:coreProperties>
</file>