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4"/>
  </bookViews>
  <sheets>
    <sheet name="b-CG" sheetId="1" r:id="rId1"/>
    <sheet name="b-FSH" sheetId="2" r:id="rId2"/>
    <sheet name="b-LH" sheetId="3" r:id="rId3"/>
    <sheet name="b-TSH" sheetId="4" r:id="rId4"/>
    <sheet name="a-hCG" sheetId="5" r:id="rId5"/>
    <sheet name="a-FSH" sheetId="6" r:id="rId6"/>
    <sheet name="a-TSH" sheetId="7" r:id="rId7"/>
    <sheet name="a-LH" sheetId="8" r:id="rId8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39" i="1" l="1"/>
  <c r="L36" i="1"/>
  <c r="L35" i="1"/>
  <c r="L34" i="1"/>
  <c r="L33" i="1"/>
  <c r="K25" i="8" l="1"/>
  <c r="J25" i="8"/>
  <c r="I25" i="8"/>
  <c r="H25" i="8"/>
  <c r="L25" i="8" s="1"/>
  <c r="M25" i="8" s="1"/>
  <c r="E25" i="8"/>
  <c r="E34" i="8" s="1"/>
  <c r="D25" i="8"/>
  <c r="D34" i="8" s="1"/>
  <c r="C25" i="8"/>
  <c r="C34" i="8" s="1"/>
  <c r="B25" i="8"/>
  <c r="F25" i="8" s="1"/>
  <c r="K24" i="8"/>
  <c r="J24" i="8"/>
  <c r="I24" i="8"/>
  <c r="H24" i="8"/>
  <c r="L24" i="8" s="1"/>
  <c r="M24" i="8" s="1"/>
  <c r="E24" i="8"/>
  <c r="E33" i="8" s="1"/>
  <c r="D24" i="8"/>
  <c r="D33" i="8" s="1"/>
  <c r="C24" i="8"/>
  <c r="C33" i="8" s="1"/>
  <c r="B24" i="8"/>
  <c r="B33" i="8" s="1"/>
  <c r="K23" i="8"/>
  <c r="J23" i="8"/>
  <c r="I23" i="8"/>
  <c r="H23" i="8"/>
  <c r="L23" i="8" s="1"/>
  <c r="M23" i="8" s="1"/>
  <c r="E23" i="8"/>
  <c r="E32" i="8" s="1"/>
  <c r="D23" i="8"/>
  <c r="D32" i="8" s="1"/>
  <c r="C23" i="8"/>
  <c r="C32" i="8" s="1"/>
  <c r="B23" i="8"/>
  <c r="B32" i="8" s="1"/>
  <c r="K22" i="8"/>
  <c r="J22" i="8"/>
  <c r="I22" i="8"/>
  <c r="H22" i="8"/>
  <c r="L22" i="8" s="1"/>
  <c r="M22" i="8" s="1"/>
  <c r="E22" i="8"/>
  <c r="E31" i="8" s="1"/>
  <c r="D22" i="8"/>
  <c r="D31" i="8" s="1"/>
  <c r="C22" i="8"/>
  <c r="C31" i="8" s="1"/>
  <c r="B22" i="8"/>
  <c r="B31" i="8" s="1"/>
  <c r="H16" i="8"/>
  <c r="I16" i="8" s="1"/>
  <c r="G16" i="8"/>
  <c r="D16" i="8"/>
  <c r="E16" i="8" s="1"/>
  <c r="C16" i="8"/>
  <c r="I15" i="8"/>
  <c r="H15" i="8"/>
  <c r="G15" i="8"/>
  <c r="E15" i="8"/>
  <c r="D15" i="8"/>
  <c r="C15" i="8"/>
  <c r="H14" i="8"/>
  <c r="I14" i="8" s="1"/>
  <c r="G14" i="8"/>
  <c r="D14" i="8"/>
  <c r="E14" i="8" s="1"/>
  <c r="C14" i="8"/>
  <c r="H13" i="8"/>
  <c r="I13" i="8" s="1"/>
  <c r="G13" i="8"/>
  <c r="E13" i="8"/>
  <c r="D13" i="8"/>
  <c r="C13" i="8"/>
  <c r="J25" i="7"/>
  <c r="I25" i="7"/>
  <c r="H25" i="7"/>
  <c r="L25" i="7" s="1"/>
  <c r="M25" i="7" s="1"/>
  <c r="E25" i="7"/>
  <c r="D25" i="7"/>
  <c r="D34" i="7" s="1"/>
  <c r="C25" i="7"/>
  <c r="C34" i="7" s="1"/>
  <c r="B25" i="7"/>
  <c r="F25" i="7" s="1"/>
  <c r="K24" i="7"/>
  <c r="J24" i="7"/>
  <c r="I24" i="7"/>
  <c r="H24" i="7"/>
  <c r="L24" i="7" s="1"/>
  <c r="M24" i="7" s="1"/>
  <c r="E24" i="7"/>
  <c r="E33" i="7" s="1"/>
  <c r="D24" i="7"/>
  <c r="D33" i="7" s="1"/>
  <c r="C24" i="7"/>
  <c r="C33" i="7" s="1"/>
  <c r="B24" i="7"/>
  <c r="F24" i="7" s="1"/>
  <c r="K23" i="7"/>
  <c r="J23" i="7"/>
  <c r="I23" i="7"/>
  <c r="H23" i="7"/>
  <c r="L23" i="7" s="1"/>
  <c r="M23" i="7" s="1"/>
  <c r="E23" i="7"/>
  <c r="E32" i="7" s="1"/>
  <c r="D23" i="7"/>
  <c r="D32" i="7" s="1"/>
  <c r="C23" i="7"/>
  <c r="C32" i="7" s="1"/>
  <c r="B23" i="7"/>
  <c r="F23" i="7" s="1"/>
  <c r="K22" i="7"/>
  <c r="J22" i="7"/>
  <c r="I22" i="7"/>
  <c r="H22" i="7"/>
  <c r="L22" i="7" s="1"/>
  <c r="M22" i="7" s="1"/>
  <c r="E22" i="7"/>
  <c r="E31" i="7" s="1"/>
  <c r="D22" i="7"/>
  <c r="D31" i="7" s="1"/>
  <c r="C22" i="7"/>
  <c r="C31" i="7" s="1"/>
  <c r="B22" i="7"/>
  <c r="F22" i="7" s="1"/>
  <c r="H16" i="7"/>
  <c r="I16" i="7" s="1"/>
  <c r="G16" i="7"/>
  <c r="D16" i="7"/>
  <c r="E16" i="7" s="1"/>
  <c r="C16" i="7"/>
  <c r="I15" i="7"/>
  <c r="H15" i="7"/>
  <c r="G15" i="7"/>
  <c r="D15" i="7"/>
  <c r="E15" i="7" s="1"/>
  <c r="C15" i="7"/>
  <c r="H14" i="7"/>
  <c r="I14" i="7" s="1"/>
  <c r="G14" i="7"/>
  <c r="D14" i="7"/>
  <c r="E14" i="7" s="1"/>
  <c r="C14" i="7"/>
  <c r="I13" i="7"/>
  <c r="H13" i="7"/>
  <c r="G13" i="7"/>
  <c r="D13" i="7"/>
  <c r="E13" i="7" s="1"/>
  <c r="C13" i="7"/>
  <c r="K25" i="6"/>
  <c r="J25" i="6"/>
  <c r="I25" i="6"/>
  <c r="H25" i="6"/>
  <c r="L25" i="6" s="1"/>
  <c r="M25" i="6" s="1"/>
  <c r="E25" i="6"/>
  <c r="E34" i="6" s="1"/>
  <c r="D25" i="6"/>
  <c r="D34" i="6" s="1"/>
  <c r="C25" i="6"/>
  <c r="C34" i="6" s="1"/>
  <c r="B25" i="6"/>
  <c r="F25" i="6" s="1"/>
  <c r="K24" i="6"/>
  <c r="J24" i="6"/>
  <c r="I24" i="6"/>
  <c r="H24" i="6"/>
  <c r="L24" i="6" s="1"/>
  <c r="M24" i="6" s="1"/>
  <c r="E24" i="6"/>
  <c r="E33" i="6" s="1"/>
  <c r="D24" i="6"/>
  <c r="D33" i="6" s="1"/>
  <c r="C24" i="6"/>
  <c r="C33" i="6" s="1"/>
  <c r="B24" i="6"/>
  <c r="B33" i="6" s="1"/>
  <c r="K23" i="6"/>
  <c r="J23" i="6"/>
  <c r="I23" i="6"/>
  <c r="H23" i="6"/>
  <c r="L23" i="6" s="1"/>
  <c r="M23" i="6" s="1"/>
  <c r="E23" i="6"/>
  <c r="E32" i="6" s="1"/>
  <c r="D23" i="6"/>
  <c r="D32" i="6" s="1"/>
  <c r="C23" i="6"/>
  <c r="C32" i="6" s="1"/>
  <c r="B23" i="6"/>
  <c r="F23" i="6" s="1"/>
  <c r="K22" i="6"/>
  <c r="J22" i="6"/>
  <c r="I22" i="6"/>
  <c r="H22" i="6"/>
  <c r="L22" i="6" s="1"/>
  <c r="M22" i="6" s="1"/>
  <c r="E22" i="6"/>
  <c r="E31" i="6" s="1"/>
  <c r="D22" i="6"/>
  <c r="D31" i="6" s="1"/>
  <c r="C22" i="6"/>
  <c r="C31" i="6" s="1"/>
  <c r="B22" i="6"/>
  <c r="B31" i="6" s="1"/>
  <c r="H16" i="6"/>
  <c r="I16" i="6" s="1"/>
  <c r="G16" i="6"/>
  <c r="D16" i="6"/>
  <c r="E16" i="6" s="1"/>
  <c r="C16" i="6"/>
  <c r="H15" i="6"/>
  <c r="I15" i="6" s="1"/>
  <c r="G15" i="6"/>
  <c r="E15" i="6"/>
  <c r="D15" i="6"/>
  <c r="C15" i="6"/>
  <c r="H14" i="6"/>
  <c r="I14" i="6" s="1"/>
  <c r="G14" i="6"/>
  <c r="D14" i="6"/>
  <c r="E14" i="6" s="1"/>
  <c r="C14" i="6"/>
  <c r="H13" i="6"/>
  <c r="I13" i="6" s="1"/>
  <c r="G13" i="6"/>
  <c r="E13" i="6"/>
  <c r="D13" i="6"/>
  <c r="C13" i="6"/>
  <c r="K25" i="5"/>
  <c r="J25" i="5"/>
  <c r="I25" i="5"/>
  <c r="H25" i="5"/>
  <c r="L25" i="5" s="1"/>
  <c r="M25" i="5" s="1"/>
  <c r="E25" i="5"/>
  <c r="E34" i="5" s="1"/>
  <c r="D25" i="5"/>
  <c r="D34" i="5" s="1"/>
  <c r="C25" i="5"/>
  <c r="C34" i="5" s="1"/>
  <c r="B25" i="5"/>
  <c r="F25" i="5" s="1"/>
  <c r="K24" i="5"/>
  <c r="J24" i="5"/>
  <c r="I24" i="5"/>
  <c r="H24" i="5"/>
  <c r="L24" i="5" s="1"/>
  <c r="M24" i="5" s="1"/>
  <c r="E24" i="5"/>
  <c r="E33" i="5" s="1"/>
  <c r="D24" i="5"/>
  <c r="D33" i="5" s="1"/>
  <c r="C24" i="5"/>
  <c r="C33" i="5" s="1"/>
  <c r="B24" i="5"/>
  <c r="B33" i="5" s="1"/>
  <c r="K23" i="5"/>
  <c r="J23" i="5"/>
  <c r="I23" i="5"/>
  <c r="H23" i="5"/>
  <c r="L23" i="5" s="1"/>
  <c r="M23" i="5" s="1"/>
  <c r="E23" i="5"/>
  <c r="E32" i="5" s="1"/>
  <c r="D23" i="5"/>
  <c r="D32" i="5" s="1"/>
  <c r="C23" i="5"/>
  <c r="C32" i="5" s="1"/>
  <c r="B23" i="5"/>
  <c r="B32" i="5" s="1"/>
  <c r="K22" i="5"/>
  <c r="J22" i="5"/>
  <c r="I22" i="5"/>
  <c r="H22" i="5"/>
  <c r="L22" i="5" s="1"/>
  <c r="M22" i="5" s="1"/>
  <c r="E22" i="5"/>
  <c r="E31" i="5" s="1"/>
  <c r="D22" i="5"/>
  <c r="D31" i="5" s="1"/>
  <c r="C22" i="5"/>
  <c r="C31" i="5" s="1"/>
  <c r="B22" i="5"/>
  <c r="F22" i="5" s="1"/>
  <c r="H16" i="5"/>
  <c r="I16" i="5" s="1"/>
  <c r="G16" i="5"/>
  <c r="E16" i="5"/>
  <c r="D16" i="5"/>
  <c r="C16" i="5"/>
  <c r="H15" i="5"/>
  <c r="I15" i="5" s="1"/>
  <c r="G15" i="5"/>
  <c r="E15" i="5"/>
  <c r="D15" i="5"/>
  <c r="C15" i="5"/>
  <c r="H14" i="5"/>
  <c r="I14" i="5" s="1"/>
  <c r="G14" i="5"/>
  <c r="D14" i="5"/>
  <c r="E14" i="5" s="1"/>
  <c r="C14" i="5"/>
  <c r="H13" i="5"/>
  <c r="I13" i="5" s="1"/>
  <c r="G13" i="5"/>
  <c r="E13" i="5"/>
  <c r="D13" i="5"/>
  <c r="C13" i="5"/>
  <c r="B34" i="4"/>
  <c r="B33" i="4"/>
  <c r="B32" i="4"/>
  <c r="J25" i="4"/>
  <c r="I25" i="4"/>
  <c r="C34" i="4" s="1"/>
  <c r="H25" i="4"/>
  <c r="F25" i="4"/>
  <c r="G25" i="4" s="1"/>
  <c r="D25" i="4"/>
  <c r="D34" i="4" s="1"/>
  <c r="C25" i="4"/>
  <c r="B25" i="4"/>
  <c r="J24" i="4"/>
  <c r="I24" i="4"/>
  <c r="C33" i="4" s="1"/>
  <c r="J35" i="4" s="1"/>
  <c r="H24" i="4"/>
  <c r="L24" i="4" s="1"/>
  <c r="M24" i="4" s="1"/>
  <c r="D24" i="4"/>
  <c r="D33" i="4" s="1"/>
  <c r="C24" i="4"/>
  <c r="B24" i="4"/>
  <c r="J23" i="4"/>
  <c r="I23" i="4"/>
  <c r="H23" i="4"/>
  <c r="F23" i="4"/>
  <c r="G23" i="4" s="1"/>
  <c r="D23" i="4"/>
  <c r="D32" i="4" s="1"/>
  <c r="C23" i="4"/>
  <c r="B23" i="4"/>
  <c r="J22" i="4"/>
  <c r="I22" i="4"/>
  <c r="H22" i="4"/>
  <c r="D22" i="4"/>
  <c r="D31" i="4" s="1"/>
  <c r="C22" i="4"/>
  <c r="C31" i="4" s="1"/>
  <c r="B22" i="4"/>
  <c r="B31" i="4" s="1"/>
  <c r="H16" i="4"/>
  <c r="I16" i="4" s="1"/>
  <c r="G16" i="4"/>
  <c r="D16" i="4"/>
  <c r="E16" i="4" s="1"/>
  <c r="C16" i="4"/>
  <c r="I15" i="4"/>
  <c r="H15" i="4"/>
  <c r="G15" i="4"/>
  <c r="E15" i="4"/>
  <c r="D15" i="4"/>
  <c r="C15" i="4"/>
  <c r="I14" i="4"/>
  <c r="H14" i="4"/>
  <c r="G14" i="4"/>
  <c r="D14" i="4"/>
  <c r="E14" i="4" s="1"/>
  <c r="C14" i="4"/>
  <c r="I13" i="4"/>
  <c r="H13" i="4"/>
  <c r="G13" i="4"/>
  <c r="E13" i="4"/>
  <c r="D13" i="4"/>
  <c r="C13" i="4"/>
  <c r="C34" i="3"/>
  <c r="K25" i="3"/>
  <c r="J25" i="3"/>
  <c r="D34" i="3" s="1"/>
  <c r="J36" i="3" s="1"/>
  <c r="I25" i="3"/>
  <c r="H25" i="3"/>
  <c r="L25" i="3" s="1"/>
  <c r="M25" i="3" s="1"/>
  <c r="E25" i="3"/>
  <c r="E34" i="3" s="1"/>
  <c r="D25" i="3"/>
  <c r="C25" i="3"/>
  <c r="B25" i="3"/>
  <c r="B34" i="3" s="1"/>
  <c r="K36" i="3" s="1"/>
  <c r="K24" i="3"/>
  <c r="J24" i="3"/>
  <c r="I24" i="3"/>
  <c r="H24" i="3"/>
  <c r="L24" i="3" s="1"/>
  <c r="M24" i="3" s="1"/>
  <c r="E24" i="3"/>
  <c r="E33" i="3" s="1"/>
  <c r="D24" i="3"/>
  <c r="D33" i="3" s="1"/>
  <c r="C24" i="3"/>
  <c r="C33" i="3" s="1"/>
  <c r="B24" i="3"/>
  <c r="K23" i="3"/>
  <c r="E32" i="3" s="1"/>
  <c r="J23" i="3"/>
  <c r="D32" i="3" s="1"/>
  <c r="I23" i="3"/>
  <c r="H23" i="3"/>
  <c r="E23" i="3"/>
  <c r="D23" i="3"/>
  <c r="C23" i="3"/>
  <c r="C32" i="3" s="1"/>
  <c r="B23" i="3"/>
  <c r="B32" i="3" s="1"/>
  <c r="K22" i="3"/>
  <c r="J22" i="3"/>
  <c r="I22" i="3"/>
  <c r="H22" i="3"/>
  <c r="L22" i="3" s="1"/>
  <c r="M22" i="3" s="1"/>
  <c r="E22" i="3"/>
  <c r="E31" i="3" s="1"/>
  <c r="D22" i="3"/>
  <c r="D31" i="3" s="1"/>
  <c r="C22" i="3"/>
  <c r="C31" i="3" s="1"/>
  <c r="B22" i="3"/>
  <c r="H16" i="3"/>
  <c r="I16" i="3" s="1"/>
  <c r="G16" i="3"/>
  <c r="D16" i="3"/>
  <c r="E16" i="3" s="1"/>
  <c r="C16" i="3"/>
  <c r="I15" i="3"/>
  <c r="H15" i="3"/>
  <c r="G15" i="3"/>
  <c r="E15" i="3"/>
  <c r="D15" i="3"/>
  <c r="C15" i="3"/>
  <c r="I14" i="3"/>
  <c r="H14" i="3"/>
  <c r="G14" i="3"/>
  <c r="D14" i="3"/>
  <c r="E14" i="3" s="1"/>
  <c r="C14" i="3"/>
  <c r="I13" i="3"/>
  <c r="H13" i="3"/>
  <c r="G13" i="3"/>
  <c r="E13" i="3"/>
  <c r="D13" i="3"/>
  <c r="C13" i="3"/>
  <c r="C34" i="2"/>
  <c r="C33" i="2"/>
  <c r="C32" i="2"/>
  <c r="B32" i="2"/>
  <c r="J25" i="2"/>
  <c r="L25" i="2" s="1"/>
  <c r="M25" i="2" s="1"/>
  <c r="I25" i="2"/>
  <c r="H25" i="2"/>
  <c r="F25" i="2"/>
  <c r="D25" i="2"/>
  <c r="C25" i="2"/>
  <c r="B25" i="2"/>
  <c r="B34" i="2" s="1"/>
  <c r="J24" i="2"/>
  <c r="D33" i="2" s="1"/>
  <c r="K35" i="2" s="1"/>
  <c r="I24" i="2"/>
  <c r="H24" i="2"/>
  <c r="F24" i="2"/>
  <c r="G24" i="2" s="1"/>
  <c r="D24" i="2"/>
  <c r="C24" i="2"/>
  <c r="B24" i="2"/>
  <c r="B33" i="2" s="1"/>
  <c r="J23" i="2"/>
  <c r="L23" i="2" s="1"/>
  <c r="M23" i="2" s="1"/>
  <c r="I23" i="2"/>
  <c r="H23" i="2"/>
  <c r="F23" i="2"/>
  <c r="D23" i="2"/>
  <c r="C23" i="2"/>
  <c r="B23" i="2"/>
  <c r="J22" i="2"/>
  <c r="L22" i="2" s="1"/>
  <c r="M22" i="2" s="1"/>
  <c r="I22" i="2"/>
  <c r="H22" i="2"/>
  <c r="F22" i="2"/>
  <c r="G22" i="2" s="1"/>
  <c r="D22" i="2"/>
  <c r="C22" i="2"/>
  <c r="C31" i="2" s="1"/>
  <c r="B22" i="2"/>
  <c r="B31" i="2" s="1"/>
  <c r="I16" i="2"/>
  <c r="H16" i="2"/>
  <c r="G16" i="2"/>
  <c r="D16" i="2"/>
  <c r="E16" i="2" s="1"/>
  <c r="C16" i="2"/>
  <c r="H15" i="2"/>
  <c r="I15" i="2" s="1"/>
  <c r="G15" i="2"/>
  <c r="E15" i="2"/>
  <c r="D15" i="2"/>
  <c r="C15" i="2"/>
  <c r="I14" i="2"/>
  <c r="H14" i="2"/>
  <c r="G14" i="2"/>
  <c r="E14" i="2"/>
  <c r="D14" i="2"/>
  <c r="C14" i="2"/>
  <c r="H13" i="2"/>
  <c r="I13" i="2" s="1"/>
  <c r="G13" i="2"/>
  <c r="E13" i="2"/>
  <c r="D13" i="2"/>
  <c r="C13" i="2"/>
  <c r="B33" i="1"/>
  <c r="E31" i="1"/>
  <c r="K25" i="1"/>
  <c r="E34" i="1" s="1"/>
  <c r="J25" i="1"/>
  <c r="I25" i="1"/>
  <c r="H25" i="1"/>
  <c r="B34" i="1" s="1"/>
  <c r="E25" i="1"/>
  <c r="D25" i="1"/>
  <c r="D34" i="1" s="1"/>
  <c r="C25" i="1"/>
  <c r="C34" i="1" s="1"/>
  <c r="B25" i="1"/>
  <c r="F25" i="1" s="1"/>
  <c r="G25" i="1" s="1"/>
  <c r="K24" i="1"/>
  <c r="J24" i="1"/>
  <c r="I24" i="1"/>
  <c r="C33" i="1" s="1"/>
  <c r="H24" i="1"/>
  <c r="E24" i="1"/>
  <c r="E33" i="1" s="1"/>
  <c r="D24" i="1"/>
  <c r="C24" i="1"/>
  <c r="B24" i="1"/>
  <c r="F24" i="1" s="1"/>
  <c r="K23" i="1"/>
  <c r="L23" i="1" s="1"/>
  <c r="M23" i="1" s="1"/>
  <c r="J23" i="1"/>
  <c r="H23" i="1"/>
  <c r="E23" i="1"/>
  <c r="D23" i="1"/>
  <c r="D32" i="1" s="1"/>
  <c r="C23" i="1"/>
  <c r="B23" i="1"/>
  <c r="F23" i="1" s="1"/>
  <c r="K22" i="1"/>
  <c r="J22" i="1"/>
  <c r="I22" i="1"/>
  <c r="H22" i="1"/>
  <c r="B31" i="1" s="1"/>
  <c r="E22" i="1"/>
  <c r="D22" i="1"/>
  <c r="D31" i="1" s="1"/>
  <c r="C22" i="1"/>
  <c r="C31" i="1" s="1"/>
  <c r="B22" i="1"/>
  <c r="F22" i="1" s="1"/>
  <c r="H16" i="1"/>
  <c r="I16" i="1" s="1"/>
  <c r="G16" i="1"/>
  <c r="D16" i="1"/>
  <c r="E16" i="1" s="1"/>
  <c r="C16" i="1"/>
  <c r="I15" i="1"/>
  <c r="H15" i="1"/>
  <c r="G15" i="1"/>
  <c r="E15" i="1"/>
  <c r="D15" i="1"/>
  <c r="C15" i="1"/>
  <c r="I14" i="1"/>
  <c r="H14" i="1"/>
  <c r="G14" i="1"/>
  <c r="D14" i="1"/>
  <c r="E14" i="1" s="1"/>
  <c r="C14" i="1"/>
  <c r="I13" i="1"/>
  <c r="H13" i="1"/>
  <c r="G13" i="1"/>
  <c r="E13" i="1"/>
  <c r="D13" i="1"/>
  <c r="C13" i="1"/>
  <c r="N23" i="1" l="1"/>
  <c r="G23" i="1"/>
  <c r="O23" i="1" s="1"/>
  <c r="K33" i="1"/>
  <c r="J33" i="1"/>
  <c r="I33" i="1"/>
  <c r="G24" i="1"/>
  <c r="K36" i="1"/>
  <c r="J36" i="1"/>
  <c r="I36" i="1"/>
  <c r="I34" i="3"/>
  <c r="L34" i="3"/>
  <c r="I35" i="4"/>
  <c r="L35" i="4"/>
  <c r="I36" i="4"/>
  <c r="L36" i="4"/>
  <c r="L33" i="6"/>
  <c r="K33" i="6"/>
  <c r="J33" i="6"/>
  <c r="I33" i="6"/>
  <c r="G23" i="6"/>
  <c r="O23" i="6" s="1"/>
  <c r="N23" i="6"/>
  <c r="K35" i="6"/>
  <c r="J35" i="6"/>
  <c r="I35" i="6"/>
  <c r="L35" i="6"/>
  <c r="G25" i="6"/>
  <c r="N25" i="6"/>
  <c r="I33" i="8"/>
  <c r="L33" i="8"/>
  <c r="I41" i="8"/>
  <c r="K33" i="8"/>
  <c r="J33" i="8"/>
  <c r="L34" i="8"/>
  <c r="K34" i="8"/>
  <c r="J34" i="8"/>
  <c r="I34" i="8"/>
  <c r="L35" i="8"/>
  <c r="K35" i="8"/>
  <c r="J35" i="8"/>
  <c r="I35" i="8"/>
  <c r="G25" i="8"/>
  <c r="N25" i="8"/>
  <c r="J34" i="3"/>
  <c r="E32" i="1"/>
  <c r="L25" i="1"/>
  <c r="M25" i="1" s="1"/>
  <c r="O25" i="1" s="1"/>
  <c r="B32" i="1"/>
  <c r="I40" i="1" s="1"/>
  <c r="D32" i="2"/>
  <c r="J35" i="2"/>
  <c r="I35" i="2"/>
  <c r="L24" i="2"/>
  <c r="M24" i="2" s="1"/>
  <c r="O24" i="2" s="1"/>
  <c r="D34" i="2"/>
  <c r="K36" i="2" s="1"/>
  <c r="I50" i="2" s="1"/>
  <c r="L35" i="2"/>
  <c r="K34" i="3"/>
  <c r="F22" i="4"/>
  <c r="L25" i="4"/>
  <c r="M25" i="4" s="1"/>
  <c r="K35" i="4"/>
  <c r="N25" i="1"/>
  <c r="N24" i="2"/>
  <c r="B33" i="3"/>
  <c r="C32" i="4"/>
  <c r="J34" i="4" s="1"/>
  <c r="L24" i="1"/>
  <c r="M24" i="1" s="1"/>
  <c r="B31" i="3"/>
  <c r="G22" i="1"/>
  <c r="L22" i="1"/>
  <c r="M22" i="1" s="1"/>
  <c r="N22" i="2"/>
  <c r="O22" i="2" s="1"/>
  <c r="F23" i="3"/>
  <c r="N23" i="2"/>
  <c r="N25" i="2"/>
  <c r="J34" i="2"/>
  <c r="I34" i="2"/>
  <c r="K34" i="2"/>
  <c r="L23" i="3"/>
  <c r="M23" i="3" s="1"/>
  <c r="I36" i="3"/>
  <c r="L36" i="3"/>
  <c r="F25" i="3"/>
  <c r="I33" i="4"/>
  <c r="L33" i="4"/>
  <c r="I40" i="4"/>
  <c r="L22" i="4"/>
  <c r="M22" i="4" s="1"/>
  <c r="J33" i="4"/>
  <c r="J36" i="4"/>
  <c r="D33" i="1"/>
  <c r="I35" i="1"/>
  <c r="D31" i="2"/>
  <c r="I41" i="2" s="1"/>
  <c r="G23" i="2"/>
  <c r="O23" i="2" s="1"/>
  <c r="J36" i="2"/>
  <c r="I36" i="2"/>
  <c r="G25" i="2"/>
  <c r="O25" i="2" s="1"/>
  <c r="L34" i="2"/>
  <c r="L36" i="2"/>
  <c r="L23" i="4"/>
  <c r="M23" i="4" s="1"/>
  <c r="F24" i="4"/>
  <c r="I34" i="4"/>
  <c r="L34" i="4"/>
  <c r="K33" i="4"/>
  <c r="K34" i="4"/>
  <c r="K36" i="4"/>
  <c r="F22" i="3"/>
  <c r="F24" i="3"/>
  <c r="G22" i="5"/>
  <c r="O22" i="5" s="1"/>
  <c r="N22" i="5"/>
  <c r="L34" i="5"/>
  <c r="K34" i="5"/>
  <c r="J34" i="5"/>
  <c r="I34" i="5"/>
  <c r="L35" i="5"/>
  <c r="K35" i="5"/>
  <c r="J35" i="5"/>
  <c r="I35" i="5"/>
  <c r="G25" i="5"/>
  <c r="N25" i="5"/>
  <c r="G22" i="7"/>
  <c r="O22" i="7" s="1"/>
  <c r="N22" i="7"/>
  <c r="N23" i="7"/>
  <c r="G23" i="7"/>
  <c r="O23" i="7" s="1"/>
  <c r="G24" i="7"/>
  <c r="O24" i="7" s="1"/>
  <c r="N24" i="7"/>
  <c r="N25" i="7"/>
  <c r="G25" i="7"/>
  <c r="O25" i="7" s="1"/>
  <c r="I33" i="5"/>
  <c r="L33" i="5"/>
  <c r="K33" i="5"/>
  <c r="J33" i="5"/>
  <c r="F24" i="5"/>
  <c r="B34" i="5"/>
  <c r="F22" i="6"/>
  <c r="F24" i="6"/>
  <c r="B32" i="6"/>
  <c r="I40" i="6" s="1"/>
  <c r="B31" i="7"/>
  <c r="B32" i="7"/>
  <c r="B33" i="7"/>
  <c r="B34" i="8"/>
  <c r="B34" i="6"/>
  <c r="B34" i="7"/>
  <c r="F23" i="8"/>
  <c r="F23" i="5"/>
  <c r="F22" i="8"/>
  <c r="F24" i="8"/>
  <c r="N23" i="3" l="1"/>
  <c r="G23" i="3"/>
  <c r="O23" i="3" s="1"/>
  <c r="I47" i="8"/>
  <c r="L33" i="2"/>
  <c r="M33" i="2" s="1"/>
  <c r="J45" i="2" s="1"/>
  <c r="K50" i="2" s="1"/>
  <c r="N24" i="1"/>
  <c r="I47" i="5"/>
  <c r="G24" i="3"/>
  <c r="N24" i="3"/>
  <c r="I39" i="4"/>
  <c r="K39" i="4" s="1"/>
  <c r="J39" i="4"/>
  <c r="M33" i="4"/>
  <c r="J33" i="3"/>
  <c r="I33" i="3"/>
  <c r="I41" i="3"/>
  <c r="K33" i="3"/>
  <c r="I40" i="3"/>
  <c r="L33" i="3"/>
  <c r="M33" i="3" s="1"/>
  <c r="O25" i="8"/>
  <c r="O25" i="6"/>
  <c r="I49" i="6"/>
  <c r="I33" i="2"/>
  <c r="O24" i="1"/>
  <c r="N24" i="8"/>
  <c r="G24" i="8"/>
  <c r="O24" i="8" s="1"/>
  <c r="L34" i="7"/>
  <c r="K34" i="7"/>
  <c r="J34" i="7"/>
  <c r="I34" i="7"/>
  <c r="I49" i="8"/>
  <c r="K36" i="6"/>
  <c r="J36" i="6"/>
  <c r="I36" i="6"/>
  <c r="L36" i="6"/>
  <c r="L33" i="7"/>
  <c r="I40" i="7"/>
  <c r="K33" i="7"/>
  <c r="I41" i="7"/>
  <c r="J33" i="7"/>
  <c r="I33" i="7"/>
  <c r="L36" i="5"/>
  <c r="K36" i="5"/>
  <c r="I48" i="5" s="1"/>
  <c r="K48" i="5" s="1"/>
  <c r="J36" i="5"/>
  <c r="I36" i="5"/>
  <c r="J40" i="5" s="1"/>
  <c r="I41" i="5"/>
  <c r="G23" i="5"/>
  <c r="O23" i="5" s="1"/>
  <c r="N23" i="5"/>
  <c r="L36" i="8"/>
  <c r="M33" i="8" s="1"/>
  <c r="J44" i="8" s="1"/>
  <c r="K36" i="8"/>
  <c r="I48" i="8" s="1"/>
  <c r="K48" i="8" s="1"/>
  <c r="J36" i="8"/>
  <c r="J39" i="8" s="1"/>
  <c r="N39" i="8" s="1"/>
  <c r="I36" i="8"/>
  <c r="K34" i="6"/>
  <c r="J34" i="6"/>
  <c r="J39" i="6" s="1"/>
  <c r="N39" i="6" s="1"/>
  <c r="I34" i="6"/>
  <c r="J41" i="6" s="1"/>
  <c r="L34" i="6"/>
  <c r="M33" i="6" s="1"/>
  <c r="J44" i="6" s="1"/>
  <c r="G24" i="5"/>
  <c r="O24" i="5" s="1"/>
  <c r="N24" i="5"/>
  <c r="M33" i="5"/>
  <c r="J44" i="5" s="1"/>
  <c r="O25" i="5"/>
  <c r="G22" i="3"/>
  <c r="O22" i="3" s="1"/>
  <c r="N22" i="3"/>
  <c r="N23" i="4"/>
  <c r="O23" i="4" s="1"/>
  <c r="J41" i="4"/>
  <c r="J40" i="4"/>
  <c r="K40" i="4" s="1"/>
  <c r="J35" i="1"/>
  <c r="I35" i="3"/>
  <c r="L35" i="3"/>
  <c r="K35" i="3"/>
  <c r="J35" i="3"/>
  <c r="N25" i="4"/>
  <c r="O25" i="4" s="1"/>
  <c r="I39" i="8"/>
  <c r="I40" i="8"/>
  <c r="I45" i="6"/>
  <c r="I46" i="6"/>
  <c r="I44" i="6"/>
  <c r="K33" i="2"/>
  <c r="J33" i="2"/>
  <c r="I47" i="1"/>
  <c r="L36" i="7"/>
  <c r="K36" i="7"/>
  <c r="J36" i="7"/>
  <c r="I36" i="7"/>
  <c r="G22" i="6"/>
  <c r="O22" i="6" s="1"/>
  <c r="N22" i="6"/>
  <c r="I44" i="5"/>
  <c r="K44" i="5" s="1"/>
  <c r="I45" i="5"/>
  <c r="I46" i="5"/>
  <c r="K46" i="5" s="1"/>
  <c r="J41" i="5"/>
  <c r="G24" i="4"/>
  <c r="N24" i="4"/>
  <c r="J40" i="6"/>
  <c r="K40" i="6" s="1"/>
  <c r="N22" i="8"/>
  <c r="G22" i="8"/>
  <c r="G23" i="8"/>
  <c r="O23" i="8" s="1"/>
  <c r="N23" i="8"/>
  <c r="L35" i="7"/>
  <c r="K35" i="7"/>
  <c r="J35" i="7"/>
  <c r="I35" i="7"/>
  <c r="G24" i="6"/>
  <c r="O24" i="6" s="1"/>
  <c r="N24" i="6"/>
  <c r="J39" i="5"/>
  <c r="I40" i="5"/>
  <c r="I41" i="4"/>
  <c r="G25" i="3"/>
  <c r="O25" i="3" s="1"/>
  <c r="N25" i="3"/>
  <c r="I49" i="2"/>
  <c r="K49" i="2" s="1"/>
  <c r="I48" i="2"/>
  <c r="K48" i="2" s="1"/>
  <c r="N22" i="1"/>
  <c r="O22" i="1" s="1"/>
  <c r="K35" i="1"/>
  <c r="I50" i="1" s="1"/>
  <c r="G22" i="4"/>
  <c r="O22" i="4" s="1"/>
  <c r="N22" i="4"/>
  <c r="K34" i="1"/>
  <c r="J34" i="1"/>
  <c r="J39" i="1" s="1"/>
  <c r="M33" i="1"/>
  <c r="J45" i="1" s="1"/>
  <c r="I34" i="1"/>
  <c r="J41" i="1" s="1"/>
  <c r="I44" i="8"/>
  <c r="I45" i="8"/>
  <c r="I46" i="8"/>
  <c r="J40" i="8"/>
  <c r="J41" i="8"/>
  <c r="I41" i="6"/>
  <c r="I40" i="2"/>
  <c r="I41" i="1"/>
  <c r="K48" i="1" l="1"/>
  <c r="K47" i="1"/>
  <c r="K50" i="1"/>
  <c r="K46" i="1"/>
  <c r="K49" i="1"/>
  <c r="K45" i="1"/>
  <c r="K44" i="6"/>
  <c r="K49" i="6"/>
  <c r="J40" i="3"/>
  <c r="J41" i="3"/>
  <c r="L39" i="4"/>
  <c r="M39" i="4" s="1"/>
  <c r="K47" i="5"/>
  <c r="K47" i="8"/>
  <c r="K44" i="8"/>
  <c r="I48" i="1"/>
  <c r="I49" i="1"/>
  <c r="N39" i="5"/>
  <c r="K39" i="8"/>
  <c r="I47" i="6"/>
  <c r="K47" i="6" s="1"/>
  <c r="I48" i="6"/>
  <c r="K48" i="6" s="1"/>
  <c r="J40" i="7"/>
  <c r="K40" i="7" s="1"/>
  <c r="J41" i="7"/>
  <c r="O22" i="8"/>
  <c r="I46" i="1"/>
  <c r="K46" i="6"/>
  <c r="J39" i="7"/>
  <c r="I39" i="7"/>
  <c r="K39" i="7" s="1"/>
  <c r="M33" i="7"/>
  <c r="J40" i="2"/>
  <c r="K40" i="2" s="1"/>
  <c r="J41" i="2"/>
  <c r="K40" i="3"/>
  <c r="I39" i="3"/>
  <c r="J39" i="3"/>
  <c r="N39" i="3" s="1"/>
  <c r="I49" i="5"/>
  <c r="K49" i="5" s="1"/>
  <c r="K40" i="5"/>
  <c r="J39" i="2"/>
  <c r="I39" i="2"/>
  <c r="K39" i="2" s="1"/>
  <c r="K49" i="8"/>
  <c r="K39" i="1"/>
  <c r="L39" i="1" s="1"/>
  <c r="M39" i="1" s="1"/>
  <c r="I39" i="6"/>
  <c r="K39" i="6" s="1"/>
  <c r="L39" i="6" s="1"/>
  <c r="M39" i="6" s="1"/>
  <c r="O24" i="3"/>
  <c r="J40" i="1"/>
  <c r="K40" i="1" s="1"/>
  <c r="K46" i="8"/>
  <c r="K45" i="6"/>
  <c r="K45" i="8"/>
  <c r="I39" i="5"/>
  <c r="K39" i="5" s="1"/>
  <c r="L39" i="5" s="1"/>
  <c r="M39" i="5" s="1"/>
  <c r="O24" i="4"/>
  <c r="K45" i="5"/>
  <c r="I45" i="1"/>
  <c r="I47" i="2"/>
  <c r="K47" i="2" s="1"/>
  <c r="I46" i="2"/>
  <c r="K46" i="2" s="1"/>
  <c r="I45" i="2"/>
  <c r="K45" i="2" s="1"/>
  <c r="K40" i="8"/>
  <c r="N39" i="4"/>
  <c r="L39" i="7" l="1"/>
  <c r="M39" i="7" s="1"/>
  <c r="L39" i="2"/>
  <c r="M39" i="2" s="1"/>
  <c r="N39" i="7"/>
  <c r="L39" i="8"/>
  <c r="M39" i="8" s="1"/>
  <c r="N39" i="2"/>
  <c r="K39" i="3"/>
  <c r="L39" i="3" s="1"/>
  <c r="M39" i="3" s="1"/>
  <c r="N39" i="1"/>
</calcChain>
</file>

<file path=xl/sharedStrings.xml><?xml version="1.0" encoding="utf-8"?>
<sst xmlns="http://schemas.openxmlformats.org/spreadsheetml/2006/main" count="519" uniqueCount="57">
  <si>
    <t>A</t>
  </si>
  <si>
    <t>B</t>
  </si>
  <si>
    <t>C</t>
  </si>
  <si>
    <t>D</t>
  </si>
  <si>
    <t>E</t>
  </si>
  <si>
    <t>F</t>
  </si>
  <si>
    <t>N/A</t>
  </si>
  <si>
    <t>G</t>
  </si>
  <si>
    <t>H</t>
  </si>
  <si>
    <t>Quantity</t>
  </si>
  <si>
    <t>Log(Quantity)</t>
  </si>
  <si>
    <t>Mean(Beta)</t>
  </si>
  <si>
    <t>RE(Beta)</t>
  </si>
  <si>
    <t>Mean(Rab)</t>
  </si>
  <si>
    <t>RE(Rab)</t>
  </si>
  <si>
    <t>Rab1</t>
  </si>
  <si>
    <t>Beta</t>
  </si>
  <si>
    <t>Sample name</t>
  </si>
  <si>
    <t>Mean</t>
  </si>
  <si>
    <t>RE</t>
  </si>
  <si>
    <t>Copies</t>
  </si>
  <si>
    <t>SD</t>
  </si>
  <si>
    <t>NSP</t>
  </si>
  <si>
    <t>HSA</t>
  </si>
  <si>
    <t>Azu</t>
  </si>
  <si>
    <t>aSP</t>
  </si>
  <si>
    <t>ANOVA - Single Factor</t>
  </si>
  <si>
    <t>Alpha</t>
  </si>
  <si>
    <t>Groups</t>
  </si>
  <si>
    <t>Count</t>
  </si>
  <si>
    <t>Sum</t>
  </si>
  <si>
    <t>Variance</t>
  </si>
  <si>
    <t>Row 1</t>
  </si>
  <si>
    <t>Row 2</t>
  </si>
  <si>
    <t>Row 3</t>
  </si>
  <si>
    <t>Row 4</t>
  </si>
  <si>
    <t>Source of Variation</t>
  </si>
  <si>
    <t>SS</t>
  </si>
  <si>
    <t>df</t>
  </si>
  <si>
    <t>MS</t>
  </si>
  <si>
    <t>P-value</t>
  </si>
  <si>
    <t>F critical</t>
  </si>
  <si>
    <t>Between Groups</t>
  </si>
  <si>
    <t>Within Groups</t>
  </si>
  <si>
    <t>Total</t>
  </si>
  <si>
    <t>Pairwise comparisons</t>
  </si>
  <si>
    <t>Q (0.05)</t>
  </si>
  <si>
    <t>Difference</t>
  </si>
  <si>
    <t>Q</t>
  </si>
  <si>
    <t>Mean(A)</t>
  </si>
  <si>
    <t>RE(A)</t>
  </si>
  <si>
    <t>1 and 2</t>
  </si>
  <si>
    <t>1 and 3</t>
  </si>
  <si>
    <t>1 and 4</t>
  </si>
  <si>
    <t>2 and 3</t>
  </si>
  <si>
    <t>2 and 4</t>
  </si>
  <si>
    <t>3 and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</si>
</sst>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"/>
  </numFmts>
  <fonts count="9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charset val="1"/>
    </font>
    <font>
      <b/>
      <sz val="9"/>
      <name val="Arial"/>
      <family val="2"/>
      <charset val="204"/>
    </font>
    <font>
      <sz val="10"/>
      <name val="Arial"/>
      <charset val="1"/>
    </font>
    <font>
      <sz val="9"/>
      <name val="Arial"/>
      <charset val="1"/>
    </font>
    <font>
      <b/>
      <sz val="9"/>
      <name val="Arial"/>
      <family val="2"/>
    </font>
    <font>
      <i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Border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5" fillId="0" borderId="1" xfId="1" applyFont="1" applyBorder="1" applyAlignment="1" applyProtection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1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7"/>
  <sheetViews>
    <sheetView topLeftCell="A28" zoomScale="110" zoomScaleNormal="110" workbookViewId="0">
      <selection activeCell="H44" sqref="H44:H51"/>
    </sheetView>
  </sheetViews>
  <sheetFormatPr defaultColWidth="11.5703125" defaultRowHeight="12.75" x14ac:dyDescent="0.2"/>
  <cols>
    <col min="1" max="1024" width="11.5703125" style="1"/>
  </cols>
  <sheetData>
    <row r="1" spans="1:15" x14ac:dyDescent="0.2">
      <c r="A1" s="6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2"/>
      <c r="K1" s="2"/>
      <c r="L1" s="2"/>
      <c r="M1" s="2"/>
      <c r="N1" s="2"/>
      <c r="O1" s="2"/>
    </row>
    <row r="2" spans="1:15" x14ac:dyDescent="0.2">
      <c r="A2" s="6" t="s">
        <v>0</v>
      </c>
      <c r="B2" s="6">
        <v>25.9075012207031</v>
      </c>
      <c r="C2" s="6">
        <v>26.098516464233398</v>
      </c>
      <c r="D2" s="6">
        <v>25.912189483642599</v>
      </c>
      <c r="E2" s="6">
        <v>25.9509181976318</v>
      </c>
      <c r="F2" s="6">
        <v>24.254911422729499</v>
      </c>
      <c r="G2" s="6">
        <v>24.3309326171875</v>
      </c>
      <c r="H2" s="6">
        <v>24.368268966674801</v>
      </c>
      <c r="I2" s="6">
        <v>24.519588470458999</v>
      </c>
      <c r="J2" s="2"/>
      <c r="K2" s="2"/>
      <c r="L2" s="2"/>
      <c r="M2" s="2"/>
      <c r="N2" s="2"/>
      <c r="O2" s="2"/>
    </row>
    <row r="3" spans="1:15" x14ac:dyDescent="0.2">
      <c r="A3" s="6" t="s">
        <v>1</v>
      </c>
      <c r="B3" s="6">
        <v>28.735742568969702</v>
      </c>
      <c r="C3" s="6">
        <v>28.485103607177699</v>
      </c>
      <c r="D3" s="6">
        <v>28.630046844482401</v>
      </c>
      <c r="E3" s="6">
        <v>28.376781463623001</v>
      </c>
      <c r="F3" s="6">
        <v>26.752058029174801</v>
      </c>
      <c r="G3" s="6">
        <v>26.641494750976602</v>
      </c>
      <c r="H3" s="6">
        <v>26.694482803344702</v>
      </c>
      <c r="I3" s="6">
        <v>26.811643600463899</v>
      </c>
      <c r="J3" s="2"/>
      <c r="K3" s="2"/>
      <c r="L3" s="2"/>
      <c r="M3" s="2"/>
      <c r="N3" s="2"/>
      <c r="O3" s="2"/>
    </row>
    <row r="4" spans="1:15" x14ac:dyDescent="0.2">
      <c r="A4" s="6" t="s">
        <v>2</v>
      </c>
      <c r="B4" s="6">
        <v>29.785099029541001</v>
      </c>
      <c r="C4" s="6">
        <v>29.691139221191399</v>
      </c>
      <c r="D4" s="6">
        <v>29.4500732421875</v>
      </c>
      <c r="E4" s="6">
        <v>29.460454940795898</v>
      </c>
      <c r="F4" s="6">
        <v>28.680007934570298</v>
      </c>
      <c r="G4" s="6">
        <v>28.855022430419901</v>
      </c>
      <c r="H4" s="6">
        <v>29.005750656127901</v>
      </c>
      <c r="I4" s="6">
        <v>28.8406791687012</v>
      </c>
      <c r="J4" s="2"/>
      <c r="K4" s="2"/>
      <c r="L4" s="2"/>
      <c r="M4" s="2"/>
      <c r="N4" s="2"/>
      <c r="O4" s="2"/>
    </row>
    <row r="5" spans="1:15" x14ac:dyDescent="0.2">
      <c r="A5" s="6" t="s">
        <v>3</v>
      </c>
      <c r="B5" s="6">
        <v>30.712440490722699</v>
      </c>
      <c r="C5" s="6">
        <v>32.640979766845703</v>
      </c>
      <c r="D5" s="6">
        <v>32.946205139160199</v>
      </c>
      <c r="E5" s="6">
        <v>32.730850219726598</v>
      </c>
      <c r="F5" s="6">
        <v>31.157382965087901</v>
      </c>
      <c r="G5" s="6">
        <v>31.0777702331543</v>
      </c>
      <c r="H5" s="6">
        <v>31.775051116943398</v>
      </c>
      <c r="I5" s="6">
        <v>30.9329643249512</v>
      </c>
      <c r="J5" s="2"/>
      <c r="K5" s="2"/>
      <c r="L5" s="2"/>
      <c r="M5" s="2"/>
      <c r="N5" s="2"/>
      <c r="O5" s="2"/>
    </row>
    <row r="6" spans="1:15" x14ac:dyDescent="0.2">
      <c r="A6" s="6" t="s">
        <v>4</v>
      </c>
      <c r="B6" s="6">
        <v>26.013822555541999</v>
      </c>
      <c r="C6" s="6">
        <v>26.225543975830099</v>
      </c>
      <c r="D6" s="6">
        <v>26.143058776855501</v>
      </c>
      <c r="E6" s="6">
        <v>26.095924377441399</v>
      </c>
      <c r="F6" s="6">
        <v>27.644666671752901</v>
      </c>
      <c r="G6" s="6">
        <v>27.678733825683601</v>
      </c>
      <c r="H6" s="6">
        <v>27.621742248535199</v>
      </c>
      <c r="I6" s="6">
        <v>28.105104446411101</v>
      </c>
      <c r="J6" s="2"/>
      <c r="K6" s="2"/>
      <c r="L6" s="2"/>
      <c r="M6" s="2"/>
      <c r="N6" s="2"/>
      <c r="O6" s="2"/>
    </row>
    <row r="7" spans="1:15" x14ac:dyDescent="0.2">
      <c r="A7" s="6" t="s">
        <v>5</v>
      </c>
      <c r="B7" s="6">
        <v>25.040826797485401</v>
      </c>
      <c r="C7" s="6">
        <v>25.0139274597168</v>
      </c>
      <c r="D7" s="6">
        <v>25.204086303710898</v>
      </c>
      <c r="E7" s="6">
        <v>25.018583297729499</v>
      </c>
      <c r="F7" s="6">
        <v>25.510898590087901</v>
      </c>
      <c r="G7" s="6" t="s">
        <v>6</v>
      </c>
      <c r="H7" s="6">
        <v>25.449787139892599</v>
      </c>
      <c r="I7" s="6">
        <v>25.4470729827881</v>
      </c>
      <c r="J7" s="2"/>
      <c r="K7" s="2"/>
      <c r="L7" s="2"/>
      <c r="M7" s="2"/>
      <c r="N7" s="2"/>
      <c r="O7" s="2"/>
    </row>
    <row r="8" spans="1:15" x14ac:dyDescent="0.2">
      <c r="A8" s="6" t="s">
        <v>7</v>
      </c>
      <c r="B8" s="6">
        <v>24.99338722229</v>
      </c>
      <c r="C8" s="6">
        <v>25.018699645996101</v>
      </c>
      <c r="D8" s="6">
        <v>25.249340057373001</v>
      </c>
      <c r="E8" s="6">
        <v>25.4940071105957</v>
      </c>
      <c r="F8" s="6">
        <v>25.5860710144043</v>
      </c>
      <c r="G8" s="6">
        <v>25.4958610534668</v>
      </c>
      <c r="H8" s="6">
        <v>25.472517013549801</v>
      </c>
      <c r="I8" s="6">
        <v>25.423994064331101</v>
      </c>
      <c r="J8" s="2"/>
      <c r="K8" s="2"/>
      <c r="L8" s="2"/>
      <c r="M8" s="2"/>
      <c r="N8" s="2"/>
      <c r="O8" s="2"/>
    </row>
    <row r="9" spans="1:15" x14ac:dyDescent="0.2">
      <c r="A9" s="6" t="s">
        <v>8</v>
      </c>
      <c r="B9" s="6">
        <v>24.106565475463899</v>
      </c>
      <c r="C9" s="6">
        <v>23.985475540161101</v>
      </c>
      <c r="D9" s="6">
        <v>24.632575988769499</v>
      </c>
      <c r="E9" s="6">
        <v>24.117137908935501</v>
      </c>
      <c r="F9" s="6">
        <v>24.944715499877901</v>
      </c>
      <c r="G9" s="6">
        <v>25.008174896240199</v>
      </c>
      <c r="H9" s="6">
        <v>24.825086593627901</v>
      </c>
      <c r="I9" s="6">
        <v>25.065645217895501</v>
      </c>
      <c r="J9" s="2"/>
      <c r="K9" s="2"/>
      <c r="L9" s="2"/>
      <c r="M9" s="2"/>
      <c r="N9" s="2"/>
      <c r="O9" s="2"/>
    </row>
    <row r="10" spans="1:1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22"/>
      <c r="B12" s="6" t="s">
        <v>9</v>
      </c>
      <c r="C12" s="6" t="s">
        <v>10</v>
      </c>
      <c r="D12" s="6" t="s">
        <v>11</v>
      </c>
      <c r="E12" s="6" t="s">
        <v>12</v>
      </c>
      <c r="F12" s="6" t="s">
        <v>9</v>
      </c>
      <c r="G12" s="6" t="s">
        <v>10</v>
      </c>
      <c r="H12" s="6" t="s">
        <v>13</v>
      </c>
      <c r="I12" s="6" t="s">
        <v>14</v>
      </c>
      <c r="J12" s="22"/>
      <c r="K12" s="22"/>
      <c r="L12" s="22"/>
      <c r="M12" s="22"/>
      <c r="N12" s="22"/>
      <c r="O12" s="22"/>
    </row>
    <row r="13" spans="1:15" x14ac:dyDescent="0.2">
      <c r="A13" s="22"/>
      <c r="B13" s="6">
        <v>40063.74</v>
      </c>
      <c r="C13" s="6">
        <f>LOG(B13)</f>
        <v>4.6027514887804868</v>
      </c>
      <c r="D13" s="6">
        <f>AVERAGE(B2:E2)</f>
        <v>25.967281341552727</v>
      </c>
      <c r="E13" s="6">
        <f>_xlfn.STDEV.S(B2:E2)/D13</f>
        <v>3.4515492299947216E-3</v>
      </c>
      <c r="F13" s="6">
        <v>16012.04</v>
      </c>
      <c r="G13" s="6">
        <f>LOG(F13)</f>
        <v>4.204446666354225</v>
      </c>
      <c r="H13" s="6">
        <f>AVERAGE(F2:I2)</f>
        <v>24.368425369262699</v>
      </c>
      <c r="I13" s="6">
        <f>_xlfn.STDEV.S(F2:I2)/H13</f>
        <v>4.5660558240601086E-3</v>
      </c>
      <c r="J13" s="22"/>
      <c r="K13" s="22"/>
      <c r="L13" s="22"/>
      <c r="M13" s="22"/>
      <c r="N13" s="22"/>
      <c r="O13" s="22"/>
    </row>
    <row r="14" spans="1:15" x14ac:dyDescent="0.2">
      <c r="A14" s="22"/>
      <c r="B14" s="6">
        <v>8012.75</v>
      </c>
      <c r="C14" s="6">
        <f>LOG(B14)</f>
        <v>3.9037815928453381</v>
      </c>
      <c r="D14" s="6">
        <f>AVERAGE(B3:E3)</f>
        <v>28.5569186210632</v>
      </c>
      <c r="E14" s="6">
        <f>_xlfn.STDEV.S(B3:E3)/D14</f>
        <v>5.5343068614759107E-3</v>
      </c>
      <c r="F14" s="6">
        <v>3202.41</v>
      </c>
      <c r="G14" s="6">
        <f>LOG(F14)</f>
        <v>3.5054769332480724</v>
      </c>
      <c r="H14" s="6">
        <f>AVERAGE(F3:I3)</f>
        <v>26.724919795990001</v>
      </c>
      <c r="I14" s="6">
        <f>_xlfn.STDEV.S(F3:I3)/H14</f>
        <v>2.7448829977253842E-3</v>
      </c>
      <c r="J14" s="22"/>
      <c r="K14" s="22"/>
      <c r="L14" s="22"/>
      <c r="M14" s="22"/>
      <c r="N14" s="22"/>
      <c r="O14" s="22"/>
    </row>
    <row r="15" spans="1:15" x14ac:dyDescent="0.2">
      <c r="A15" s="22"/>
      <c r="B15" s="6">
        <v>1602.55</v>
      </c>
      <c r="C15" s="6">
        <f>LOG(B15)</f>
        <v>3.2048115885093194</v>
      </c>
      <c r="D15" s="6">
        <f>AVERAGE(B4:E4)</f>
        <v>29.596691608428948</v>
      </c>
      <c r="E15" s="6">
        <f>_xlfn.STDEV.S(B4:E4)/D15</f>
        <v>5.6697057277553123E-3</v>
      </c>
      <c r="F15" s="6">
        <v>640.48</v>
      </c>
      <c r="G15" s="6">
        <f>LOG(F15)</f>
        <v>2.8065055727610297</v>
      </c>
      <c r="H15" s="6">
        <f>AVERAGE(F4:I4)</f>
        <v>28.845365047454827</v>
      </c>
      <c r="I15" s="6">
        <f>_xlfn.STDEV.S(F4:I4)/H15</f>
        <v>4.6157747544928428E-3</v>
      </c>
      <c r="J15" s="22"/>
      <c r="K15" s="22"/>
      <c r="L15" s="22"/>
      <c r="M15" s="22"/>
      <c r="N15" s="22"/>
      <c r="O15" s="22"/>
    </row>
    <row r="16" spans="1:15" x14ac:dyDescent="0.2">
      <c r="A16" s="22"/>
      <c r="B16" s="6">
        <v>320.51</v>
      </c>
      <c r="C16" s="6">
        <f>LOG(B16)</f>
        <v>2.5058415841733006</v>
      </c>
      <c r="D16" s="6">
        <f>AVERAGE(B5:E5)</f>
        <v>32.257618904113798</v>
      </c>
      <c r="E16" s="6">
        <f>_xlfn.STDEV.S(B5:E5)/D16</f>
        <v>3.2179981363271076E-2</v>
      </c>
      <c r="F16" s="6">
        <v>128.1</v>
      </c>
      <c r="G16" s="6">
        <f>LOG(F16)</f>
        <v>2.1075491297446862</v>
      </c>
      <c r="H16" s="6">
        <f>AVERAGE(F5:I5)</f>
        <v>31.235792160034201</v>
      </c>
      <c r="I16" s="6">
        <f>_xlfn.STDEV.S(F5:I5)/H16</f>
        <v>1.1887475514072493E-2</v>
      </c>
      <c r="J16" s="22"/>
      <c r="K16" s="22" t="s">
        <v>15</v>
      </c>
      <c r="L16" s="22">
        <v>-3.25</v>
      </c>
      <c r="M16" s="22">
        <v>38.049999999999997</v>
      </c>
      <c r="N16" s="22"/>
      <c r="O16" s="22"/>
    </row>
    <row r="17" spans="1:15" x14ac:dyDescent="0.2">
      <c r="A17" s="22"/>
      <c r="B17" s="26"/>
      <c r="C17" s="22"/>
      <c r="D17" s="22"/>
      <c r="E17" s="22"/>
      <c r="F17" s="27"/>
      <c r="G17" s="22"/>
      <c r="H17" s="22"/>
      <c r="I17" s="22"/>
      <c r="J17" s="22"/>
      <c r="K17" s="22" t="s">
        <v>16</v>
      </c>
      <c r="L17" s="22">
        <v>-2.85</v>
      </c>
      <c r="M17" s="22">
        <v>39.200000000000003</v>
      </c>
      <c r="N17" s="22"/>
      <c r="O17" s="22"/>
    </row>
    <row r="18" spans="1:15" x14ac:dyDescent="0.2">
      <c r="A18" s="22"/>
      <c r="B18" s="2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24" x14ac:dyDescent="0.2">
      <c r="A21" s="6" t="s">
        <v>17</v>
      </c>
      <c r="B21" s="6" t="s">
        <v>10</v>
      </c>
      <c r="C21" s="6" t="s">
        <v>10</v>
      </c>
      <c r="D21" s="6" t="s">
        <v>10</v>
      </c>
      <c r="E21" s="6" t="s">
        <v>10</v>
      </c>
      <c r="F21" s="6" t="s">
        <v>18</v>
      </c>
      <c r="G21" s="6" t="s">
        <v>19</v>
      </c>
      <c r="H21" s="6" t="s">
        <v>10</v>
      </c>
      <c r="I21" s="6" t="s">
        <v>10</v>
      </c>
      <c r="J21" s="6" t="s">
        <v>10</v>
      </c>
      <c r="K21" s="6" t="s">
        <v>10</v>
      </c>
      <c r="L21" s="6" t="s">
        <v>18</v>
      </c>
      <c r="M21" s="6" t="s">
        <v>19</v>
      </c>
      <c r="N21" s="6" t="s">
        <v>20</v>
      </c>
      <c r="O21" s="6" t="s">
        <v>21</v>
      </c>
    </row>
    <row r="22" spans="1:15" x14ac:dyDescent="0.2">
      <c r="A22" s="7" t="s">
        <v>22</v>
      </c>
      <c r="B22" s="6">
        <f t="shared" ref="B22:E25" si="0">10^((B6-$M$17)/$L$17)</f>
        <v>42337.862475530761</v>
      </c>
      <c r="C22" s="6">
        <f t="shared" si="0"/>
        <v>35681.303393958115</v>
      </c>
      <c r="D22" s="6">
        <f t="shared" si="0"/>
        <v>38140.192907548029</v>
      </c>
      <c r="E22" s="6">
        <f t="shared" si="0"/>
        <v>39620.620346322998</v>
      </c>
      <c r="F22" s="6">
        <f>AVERAGE(B22:E22)</f>
        <v>38944.994780839974</v>
      </c>
      <c r="G22" s="8">
        <f>_xlfn.STDEV.S(B22:E22)/F22</f>
        <v>7.1509168996726449E-2</v>
      </c>
      <c r="H22" s="6">
        <f>10^((F6-$M$16)/$L$16)</f>
        <v>1590.8931946923615</v>
      </c>
      <c r="I22" s="6">
        <f>10^((G6-$M$16)/$L$16)</f>
        <v>1552.9548266208103</v>
      </c>
      <c r="J22" s="6">
        <f>10^((H6-$M$16)/$L$16)</f>
        <v>1616.9429337419263</v>
      </c>
      <c r="K22" s="6">
        <f>10^((I6-$M$16)/$L$16)</f>
        <v>1148.0686624208015</v>
      </c>
      <c r="L22" s="6">
        <f>AVERAGE(H22:K22)</f>
        <v>1477.2149043689747</v>
      </c>
      <c r="M22" s="9">
        <f>_xlfn.STDEV.S(H22:K22) / L22</f>
        <v>0.14960455924511853</v>
      </c>
      <c r="N22" s="6">
        <f>F22/L22</f>
        <v>26.36379762054743</v>
      </c>
      <c r="O22" s="10">
        <f>SQRT(G22^2+M22^2) * N22</f>
        <v>4.3715505593879289</v>
      </c>
    </row>
    <row r="23" spans="1:15" x14ac:dyDescent="0.2">
      <c r="A23" s="7" t="s">
        <v>23</v>
      </c>
      <c r="B23" s="6">
        <f t="shared" si="0"/>
        <v>92924.6530483471</v>
      </c>
      <c r="C23" s="6">
        <f t="shared" si="0"/>
        <v>94966.255102261188</v>
      </c>
      <c r="D23" s="6">
        <f t="shared" si="0"/>
        <v>81441.71509648388</v>
      </c>
      <c r="E23" s="6">
        <f t="shared" si="0"/>
        <v>94609.704277624842</v>
      </c>
      <c r="F23" s="6">
        <f>AVERAGE(B23:E23)</f>
        <v>90985.581881179256</v>
      </c>
      <c r="G23" s="8">
        <f>_xlfn.STDEV.S(B23:E23)/F23</f>
        <v>7.0610890358881781E-2</v>
      </c>
      <c r="H23" s="6">
        <f>10^((F7-$M$16)/$L$16)</f>
        <v>7214.1480244701143</v>
      </c>
      <c r="I23" s="6"/>
      <c r="J23" s="6">
        <f t="shared" ref="J23:K25" si="1">10^((H7-$M$16)/$L$16)</f>
        <v>7533.3574083064368</v>
      </c>
      <c r="K23" s="6">
        <f t="shared" si="1"/>
        <v>7547.8575922673035</v>
      </c>
      <c r="L23" s="6">
        <f>AVERAGE(H23:K23)</f>
        <v>7431.7876750146179</v>
      </c>
      <c r="M23" s="9">
        <f>_xlfn.STDEV.S(H23:K23) / L23</f>
        <v>2.5380280394675526E-2</v>
      </c>
      <c r="N23" s="6">
        <f>F23/L23</f>
        <v>12.242758520546712</v>
      </c>
      <c r="O23" s="10">
        <f>SQRT(G23^2+M23^2) * N23</f>
        <v>0.91861949729193926</v>
      </c>
    </row>
    <row r="24" spans="1:15" x14ac:dyDescent="0.2">
      <c r="A24" s="7" t="s">
        <v>24</v>
      </c>
      <c r="B24" s="6">
        <f t="shared" si="0"/>
        <v>96555.365737566957</v>
      </c>
      <c r="C24" s="6">
        <f t="shared" si="0"/>
        <v>94600.811324169554</v>
      </c>
      <c r="D24" s="6">
        <f t="shared" si="0"/>
        <v>78517.850328413348</v>
      </c>
      <c r="E24" s="6">
        <f t="shared" si="0"/>
        <v>64434.774366335143</v>
      </c>
      <c r="F24" s="6">
        <f>AVERAGE(B24:E24)</f>
        <v>83527.200439121254</v>
      </c>
      <c r="G24" s="8">
        <f>_xlfn.STDEV.S(B24:E24)/F24</f>
        <v>0.1805073146576702</v>
      </c>
      <c r="H24" s="6">
        <f>10^((F8-$M$16)/$L$16)</f>
        <v>6839.9837899876347</v>
      </c>
      <c r="I24" s="6">
        <f>10^((G8-$M$16)/$L$16)</f>
        <v>7291.4177902907686</v>
      </c>
      <c r="J24" s="6">
        <f t="shared" si="1"/>
        <v>7413.0130568183431</v>
      </c>
      <c r="K24" s="6">
        <f t="shared" si="1"/>
        <v>7672.2881130759852</v>
      </c>
      <c r="L24" s="6">
        <f>AVERAGE(H24:K24)</f>
        <v>7304.1756875431829</v>
      </c>
      <c r="M24" s="9">
        <f>_xlfn.STDEV.S(H24:K24) / L24</f>
        <v>4.7622810403806594E-2</v>
      </c>
      <c r="N24" s="6">
        <f>F24/L24</f>
        <v>11.43554098535331</v>
      </c>
      <c r="O24" s="10">
        <f>SQRT(G24^2+M24^2) * N24</f>
        <v>2.1348296805996161</v>
      </c>
    </row>
    <row r="25" spans="1:15" x14ac:dyDescent="0.2">
      <c r="A25" s="7" t="s">
        <v>25</v>
      </c>
      <c r="B25" s="6">
        <f t="shared" si="0"/>
        <v>197670.53533526402</v>
      </c>
      <c r="C25" s="6">
        <f t="shared" si="0"/>
        <v>217986.51839201889</v>
      </c>
      <c r="D25" s="6">
        <f t="shared" si="0"/>
        <v>129234.01767592329</v>
      </c>
      <c r="E25" s="6">
        <f t="shared" si="0"/>
        <v>195989.27783229071</v>
      </c>
      <c r="F25" s="6">
        <f>AVERAGE(B25:E25)</f>
        <v>185220.08730887424</v>
      </c>
      <c r="G25" s="8">
        <f>_xlfn.STDEV.S(B25:E25)/F25</f>
        <v>0.20861480284828005</v>
      </c>
      <c r="H25" s="6">
        <f>10^((F9-$M$16)/$L$16)</f>
        <v>10774.452994547521</v>
      </c>
      <c r="I25" s="6">
        <f>10^((G9-$M$16)/$L$16)</f>
        <v>10300.759861072065</v>
      </c>
      <c r="J25" s="6">
        <f t="shared" si="1"/>
        <v>11727.464447654109</v>
      </c>
      <c r="K25" s="6">
        <f t="shared" si="1"/>
        <v>9889.7676133386667</v>
      </c>
      <c r="L25" s="6">
        <f>AVERAGE(H25:K25)</f>
        <v>10673.111229153092</v>
      </c>
      <c r="M25" s="9">
        <f>_xlfn.STDEV.S(H25:K25) / L25</f>
        <v>7.4055398613361856E-2</v>
      </c>
      <c r="N25" s="6">
        <f>F25/L25</f>
        <v>17.353898346243639</v>
      </c>
      <c r="O25" s="10">
        <f>SQRT(G25^2+M25^2) * N25</f>
        <v>3.8416191943839246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4" x14ac:dyDescent="0.2">
      <c r="A29" s="2"/>
      <c r="B29" s="2"/>
      <c r="C29" s="2"/>
      <c r="D29" s="2"/>
      <c r="E29" s="2"/>
      <c r="F29" s="2"/>
      <c r="G29" s="2"/>
      <c r="H29" s="11" t="s">
        <v>26</v>
      </c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12" t="s">
        <v>27</v>
      </c>
      <c r="I30" s="12">
        <v>0.05</v>
      </c>
      <c r="J30" s="12"/>
      <c r="K30" s="12"/>
      <c r="L30" s="12"/>
      <c r="M30" s="12"/>
      <c r="N30" s="12"/>
      <c r="O30" s="2"/>
    </row>
    <row r="31" spans="1:15" x14ac:dyDescent="0.2">
      <c r="A31" s="2"/>
      <c r="B31" s="2">
        <f>B22 / H22</f>
        <v>26.612636609912606</v>
      </c>
      <c r="C31" s="2">
        <f>C22 / I22</f>
        <v>22.976394922960967</v>
      </c>
      <c r="D31" s="2">
        <f>D22 / J22</f>
        <v>23.58784104970487</v>
      </c>
      <c r="E31" s="2">
        <f>E22 / K22</f>
        <v>34.510671393799313</v>
      </c>
      <c r="F31" s="2"/>
      <c r="G31" s="2"/>
      <c r="H31" s="12"/>
      <c r="I31" s="12"/>
      <c r="J31" s="12"/>
      <c r="K31" s="12"/>
      <c r="L31" s="12"/>
      <c r="M31" s="12"/>
      <c r="N31" s="12"/>
      <c r="O31" s="2"/>
    </row>
    <row r="32" spans="1:15" x14ac:dyDescent="0.2">
      <c r="A32" s="2"/>
      <c r="B32" s="2">
        <f>B23 / H23</f>
        <v>12.880890818035647</v>
      </c>
      <c r="C32" s="2"/>
      <c r="D32" s="2">
        <f t="shared" ref="D32:E34" si="2">D23 / J23</f>
        <v>10.810812587583399</v>
      </c>
      <c r="E32" s="2">
        <f t="shared" si="2"/>
        <v>12.534643522494573</v>
      </c>
      <c r="F32" s="2"/>
      <c r="G32" s="2"/>
      <c r="H32" s="13" t="s">
        <v>28</v>
      </c>
      <c r="I32" s="13" t="s">
        <v>29</v>
      </c>
      <c r="J32" s="13" t="s">
        <v>30</v>
      </c>
      <c r="K32" s="13" t="s">
        <v>18</v>
      </c>
      <c r="L32" s="13" t="s">
        <v>31</v>
      </c>
      <c r="M32" s="12"/>
      <c r="N32" s="12"/>
      <c r="O32" s="2"/>
    </row>
    <row r="33" spans="1:15" x14ac:dyDescent="0.2">
      <c r="A33" s="14"/>
      <c r="B33" s="2">
        <f>B24 / H24</f>
        <v>14.116314994620991</v>
      </c>
      <c r="C33" s="2">
        <f>C24 / I24</f>
        <v>12.974268385791818</v>
      </c>
      <c r="D33" s="2">
        <f t="shared" si="2"/>
        <v>10.591894244162187</v>
      </c>
      <c r="E33" s="2">
        <f t="shared" si="2"/>
        <v>8.3983778263642215</v>
      </c>
      <c r="F33" s="2"/>
      <c r="G33" s="2"/>
      <c r="H33" s="12" t="s">
        <v>32</v>
      </c>
      <c r="I33" s="12">
        <f>COUNT('b-CG'!$B$31:$E$31)</f>
        <v>4</v>
      </c>
      <c r="J33" s="12">
        <f>SUM('b-CG'!$B$31:$E$31)</f>
        <v>107.68754397637777</v>
      </c>
      <c r="K33" s="12">
        <f>AVERAGE('b-CG'!$B$31:$E$31)</f>
        <v>26.921885994094442</v>
      </c>
      <c r="L33" s="12">
        <f>VAR('b-CG'!$B$31:$E$31)</f>
        <v>28.122684835997763</v>
      </c>
      <c r="M33" s="12">
        <f>AVERAGE(L33:L36)</f>
        <v>14.081618358996442</v>
      </c>
      <c r="N33" s="12"/>
      <c r="O33" s="2"/>
    </row>
    <row r="34" spans="1:15" x14ac:dyDescent="0.2">
      <c r="A34" s="2"/>
      <c r="B34" s="2">
        <f>B25 / H25</f>
        <v>18.346224670087331</v>
      </c>
      <c r="C34" s="2">
        <f>C25 / I25</f>
        <v>21.162178454020541</v>
      </c>
      <c r="D34" s="2">
        <f t="shared" si="2"/>
        <v>11.019774841591992</v>
      </c>
      <c r="E34" s="2">
        <f t="shared" si="2"/>
        <v>19.817379487052182</v>
      </c>
      <c r="F34" s="2"/>
      <c r="G34" s="2"/>
      <c r="H34" s="12" t="s">
        <v>33</v>
      </c>
      <c r="I34" s="12">
        <f>COUNT('b-CG'!$B$32:$E$32)</f>
        <v>3</v>
      </c>
      <c r="J34" s="12">
        <f>SUM('b-CG'!$B$32:$E$32)</f>
        <v>36.226346928113614</v>
      </c>
      <c r="K34" s="12">
        <f>AVERAGE('b-CG'!$B$32:$E$32)</f>
        <v>12.075448976037871</v>
      </c>
      <c r="L34" s="12">
        <f>VAR('b-CG'!$B$32:$E$32)</f>
        <v>1.2294506936697582</v>
      </c>
      <c r="M34" s="12"/>
      <c r="N34" s="12"/>
      <c r="O34" s="2"/>
    </row>
    <row r="35" spans="1:15" x14ac:dyDescent="0.2">
      <c r="A35" s="2"/>
      <c r="B35" s="2"/>
      <c r="C35" s="4"/>
      <c r="D35" s="2"/>
      <c r="E35" s="2"/>
      <c r="F35" s="2"/>
      <c r="G35" s="2"/>
      <c r="H35" s="12" t="s">
        <v>34</v>
      </c>
      <c r="I35" s="12">
        <f>COUNT('b-CG'!$B$33:$E$33)</f>
        <v>4</v>
      </c>
      <c r="J35" s="12">
        <f>SUM('b-CG'!$B$33:$E$33)</f>
        <v>46.080855450939225</v>
      </c>
      <c r="K35" s="12">
        <f>AVERAGE('b-CG'!$B$33:$E$33)</f>
        <v>11.520213862734806</v>
      </c>
      <c r="L35" s="12">
        <f>VAR('b-CG'!$B$33:$E$33)</f>
        <v>6.4872177317373216</v>
      </c>
      <c r="M35" s="12"/>
      <c r="N35" s="1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15" t="s">
        <v>35</v>
      </c>
      <c r="I36" s="15">
        <f>COUNT('b-CG'!$B$34:$E$34)</f>
        <v>4</v>
      </c>
      <c r="J36" s="15">
        <f>SUM('b-CG'!$B$34:$E$34)</f>
        <v>70.345557452752047</v>
      </c>
      <c r="K36" s="15">
        <f>AVERAGE('b-CG'!$B$34:$E$34)</f>
        <v>17.586389363188012</v>
      </c>
      <c r="L36" s="15">
        <f>VAR('b-CG'!$B$34:$E$34)</f>
        <v>20.487120174580923</v>
      </c>
      <c r="M36" s="12"/>
      <c r="N36" s="12"/>
      <c r="O36" s="2"/>
    </row>
    <row r="37" spans="1:15" x14ac:dyDescent="0.2">
      <c r="A37" s="16"/>
      <c r="B37" s="2"/>
      <c r="C37" s="2"/>
      <c r="D37" s="2"/>
      <c r="E37" s="2"/>
      <c r="F37" s="2"/>
      <c r="G37" s="2"/>
      <c r="H37" s="12"/>
      <c r="I37" s="12"/>
      <c r="J37" s="12"/>
      <c r="K37" s="12"/>
      <c r="L37" s="12"/>
      <c r="M37" s="12"/>
      <c r="N37" s="12"/>
      <c r="O37" s="2"/>
    </row>
    <row r="38" spans="1:15" ht="24" x14ac:dyDescent="0.2">
      <c r="A38" s="16"/>
      <c r="B38" s="2"/>
      <c r="C38" s="2"/>
      <c r="D38" s="2"/>
      <c r="E38" s="2"/>
      <c r="F38" s="2"/>
      <c r="G38" s="2"/>
      <c r="H38" s="12" t="s">
        <v>36</v>
      </c>
      <c r="I38" s="12" t="s">
        <v>37</v>
      </c>
      <c r="J38" s="12" t="s">
        <v>38</v>
      </c>
      <c r="K38" s="12" t="s">
        <v>39</v>
      </c>
      <c r="L38" s="12" t="s">
        <v>5</v>
      </c>
      <c r="M38" s="12" t="s">
        <v>40</v>
      </c>
      <c r="N38" s="12" t="s">
        <v>41</v>
      </c>
      <c r="O38" s="2"/>
    </row>
    <row r="39" spans="1:15" ht="24" x14ac:dyDescent="0.2">
      <c r="A39" s="16"/>
      <c r="B39" s="2"/>
      <c r="C39" s="2"/>
      <c r="D39" s="2"/>
      <c r="E39" s="2"/>
      <c r="F39" s="2"/>
      <c r="G39" s="2"/>
      <c r="H39" s="12" t="s">
        <v>42</v>
      </c>
      <c r="I39" s="12">
        <f>SUMPRODUCT('b-CG'!$J$33:$J$36,'b-CG'!$K$33:$K$36)-SUM('b-CG'!$J$33:$J$36)^2/SUM('b-CG'!$I$33:$I$36)</f>
        <v>586.11527314616615</v>
      </c>
      <c r="J39" s="12">
        <f>COUNT('b-CG'!$J$33:$J$36)-1</f>
        <v>3</v>
      </c>
      <c r="K39" s="12">
        <f>'b-CG'!$I$39 / 'b-CG'!$J$39</f>
        <v>195.37175771538872</v>
      </c>
      <c r="L39" s="12">
        <f>'b-CG'!$K$39 / 'b-CG'!$K$40</f>
        <v>12.811265121601657</v>
      </c>
      <c r="M39" s="12">
        <f>FDIST('b-CG'!$L$39, 'b-CG'!$J$39, 'b-CG'!$J$40)</f>
        <v>6.5422671262757863E-4</v>
      </c>
      <c r="N39" s="12">
        <f>FINV('b-CG'!$I$30, 'b-CG'!$J$39, 'b-CG'!$J$40)</f>
        <v>3.5874337024204954</v>
      </c>
      <c r="O39" s="2"/>
    </row>
    <row r="40" spans="1:15" ht="24" x14ac:dyDescent="0.2">
      <c r="A40" s="2"/>
      <c r="B40" s="2"/>
      <c r="C40" s="2"/>
      <c r="D40" s="2"/>
      <c r="E40" s="2"/>
      <c r="F40" s="2"/>
      <c r="G40" s="2"/>
      <c r="H40" s="13" t="s">
        <v>43</v>
      </c>
      <c r="I40" s="13">
        <f>SUM(DEVSQ('b-CG'!$B$31:$E$31),DEVSQ('b-CG'!$B$32:$E$32),DEVSQ('b-CG'!$B$33:$E$33),DEVSQ('b-CG'!$B$34:$E$34))</f>
        <v>167.7499696142888</v>
      </c>
      <c r="J40" s="13">
        <f>SUM('b-CG'!$I$33:$I$36)-COUNT('b-CG'!$I$33:$I$36)</f>
        <v>11</v>
      </c>
      <c r="K40" s="13">
        <f>'b-CG'!$I$40 / 'b-CG'!$J$40</f>
        <v>15.249997237662619</v>
      </c>
      <c r="L40" s="13"/>
      <c r="M40" s="13"/>
      <c r="N40" s="13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12" t="s">
        <v>44</v>
      </c>
      <c r="I41" s="12">
        <f>DEVSQ('b-CG'!$B$31:$E$31,'b-CG'!$B$32:$E$32,'b-CG'!$B$33:$E$33,'b-CG'!$B$34:$E$34)</f>
        <v>753.86524276045373</v>
      </c>
      <c r="J41" s="12">
        <f>SUM('b-CG'!$I$33:$I$36) - 1</f>
        <v>14</v>
      </c>
      <c r="K41" s="12"/>
      <c r="L41" s="12"/>
      <c r="M41" s="12"/>
      <c r="N41" s="1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12"/>
      <c r="I42" s="12"/>
      <c r="J42" s="12"/>
      <c r="K42" s="12"/>
      <c r="L42" s="12"/>
      <c r="M42" s="12"/>
      <c r="N42" s="1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12"/>
      <c r="I43" s="12"/>
      <c r="J43" s="12"/>
      <c r="K43" s="12"/>
      <c r="L43" s="12"/>
      <c r="M43" s="12"/>
      <c r="N43" s="12"/>
      <c r="O43" s="2"/>
    </row>
    <row r="44" spans="1:15" ht="24" x14ac:dyDescent="0.2">
      <c r="A44" s="2"/>
      <c r="B44" s="2"/>
      <c r="C44" s="2"/>
      <c r="D44" s="2"/>
      <c r="E44" s="2"/>
      <c r="F44" s="2"/>
      <c r="G44" s="2"/>
      <c r="H44" s="12" t="s">
        <v>28</v>
      </c>
      <c r="I44" s="12" t="s">
        <v>45</v>
      </c>
      <c r="J44" s="12" t="s">
        <v>46</v>
      </c>
      <c r="K44" s="12" t="s">
        <v>47</v>
      </c>
      <c r="L44" s="15"/>
      <c r="M44" s="15"/>
      <c r="N44" s="15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12" t="s">
        <v>51</v>
      </c>
      <c r="I45" s="12">
        <f>ABS(K33 - K34)</f>
        <v>14.846437018056571</v>
      </c>
      <c r="J45" s="12">
        <f>$J$52 * (SQRT($M$33/4))</f>
        <v>8.0679787347551351</v>
      </c>
      <c r="K45" s="12">
        <f t="shared" ref="K45:K50" si="3">IF(I45&gt;$J$45, 1, 0)</f>
        <v>1</v>
      </c>
      <c r="L45" s="12"/>
      <c r="M45" s="12"/>
      <c r="N45" s="1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12" t="s">
        <v>52</v>
      </c>
      <c r="I46" s="12">
        <f>ABS(K33 - K35)</f>
        <v>15.401672131359636</v>
      </c>
      <c r="J46" s="12"/>
      <c r="K46" s="12">
        <f t="shared" si="3"/>
        <v>1</v>
      </c>
      <c r="L46" s="12"/>
      <c r="M46" s="12"/>
      <c r="N46" s="1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12" t="s">
        <v>53</v>
      </c>
      <c r="I47" s="12">
        <f>ABS(K33 - K36)</f>
        <v>9.3354966309064302</v>
      </c>
      <c r="J47" s="12"/>
      <c r="K47" s="12">
        <f t="shared" si="3"/>
        <v>1</v>
      </c>
      <c r="L47" s="12"/>
      <c r="M47" s="12"/>
      <c r="N47" s="1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12" t="s">
        <v>54</v>
      </c>
      <c r="I48" s="12">
        <f>ABS(K34 - K35)</f>
        <v>0.55523511330306441</v>
      </c>
      <c r="J48" s="12"/>
      <c r="K48" s="12">
        <f t="shared" si="3"/>
        <v>0</v>
      </c>
      <c r="L48" s="12"/>
      <c r="M48" s="12"/>
      <c r="N48" s="12"/>
      <c r="O48" s="2"/>
    </row>
    <row r="49" spans="1:15" x14ac:dyDescent="0.2">
      <c r="A49" s="2"/>
      <c r="B49" s="5"/>
      <c r="C49" s="2"/>
      <c r="D49" s="2"/>
      <c r="E49" s="2"/>
      <c r="F49" s="2"/>
      <c r="G49" s="2"/>
      <c r="H49" s="12" t="s">
        <v>55</v>
      </c>
      <c r="I49" s="12">
        <f>ABS(K34 - K36)</f>
        <v>5.510940387150141</v>
      </c>
      <c r="J49" s="12"/>
      <c r="K49" s="12">
        <f t="shared" si="3"/>
        <v>0</v>
      </c>
      <c r="L49" s="12"/>
      <c r="M49" s="12"/>
      <c r="N49" s="12"/>
      <c r="O49" s="2"/>
    </row>
    <row r="50" spans="1:15" x14ac:dyDescent="0.2">
      <c r="A50" s="16"/>
      <c r="B50" s="5"/>
      <c r="C50" s="2"/>
      <c r="D50" s="2"/>
      <c r="E50" s="2"/>
      <c r="F50" s="2"/>
      <c r="G50" s="2"/>
      <c r="H50" s="12" t="s">
        <v>56</v>
      </c>
      <c r="I50" s="17">
        <f>ABS(K35 - K36)</f>
        <v>6.0661755004532054</v>
      </c>
      <c r="J50" s="12"/>
      <c r="K50" s="12">
        <f t="shared" si="3"/>
        <v>0</v>
      </c>
      <c r="L50" s="12"/>
      <c r="M50" s="12"/>
      <c r="N50" s="12"/>
      <c r="O50" s="2"/>
    </row>
    <row r="51" spans="1:15" x14ac:dyDescent="0.2">
      <c r="A51" s="16"/>
      <c r="B51" s="5"/>
      <c r="C51" s="2"/>
      <c r="D51" s="2"/>
      <c r="E51" s="2"/>
      <c r="F51" s="2"/>
      <c r="G51" s="2"/>
      <c r="H51" s="12"/>
      <c r="I51" s="12"/>
      <c r="J51" s="12"/>
      <c r="K51" s="12"/>
      <c r="L51" s="12"/>
      <c r="M51" s="12"/>
      <c r="N51" s="12"/>
      <c r="O51" s="2"/>
    </row>
    <row r="52" spans="1:15" x14ac:dyDescent="0.2">
      <c r="A52" s="16"/>
      <c r="B52" s="5"/>
      <c r="C52" s="2"/>
      <c r="D52" s="2"/>
      <c r="E52" s="2"/>
      <c r="F52" s="2"/>
      <c r="G52" s="2"/>
      <c r="H52" s="12"/>
      <c r="I52" s="12" t="s">
        <v>48</v>
      </c>
      <c r="J52" s="12">
        <v>4.3</v>
      </c>
      <c r="K52" s="12"/>
      <c r="L52" s="12"/>
      <c r="M52" s="12"/>
      <c r="N52" s="12"/>
      <c r="O52" s="2"/>
    </row>
    <row r="53" spans="1:15" x14ac:dyDescent="0.2">
      <c r="A53" s="2"/>
      <c r="B53" s="5"/>
      <c r="C53" s="2"/>
      <c r="D53" s="2"/>
      <c r="E53" s="2"/>
      <c r="F53" s="2"/>
      <c r="G53" s="2"/>
      <c r="H53" s="12"/>
      <c r="I53" s="12"/>
      <c r="J53" s="12"/>
      <c r="K53" s="12"/>
      <c r="L53" s="12"/>
      <c r="M53" s="12"/>
      <c r="N53" s="12"/>
      <c r="O53" s="2"/>
    </row>
    <row r="54" spans="1:15" x14ac:dyDescent="0.2">
      <c r="B54" s="18"/>
      <c r="H54" s="19"/>
      <c r="I54" s="19"/>
      <c r="J54" s="19"/>
      <c r="K54" s="19"/>
      <c r="L54" s="19"/>
      <c r="M54" s="19"/>
      <c r="N54" s="19"/>
    </row>
    <row r="55" spans="1:15" x14ac:dyDescent="0.2">
      <c r="B55" s="18"/>
      <c r="H55" s="19"/>
      <c r="I55" s="19"/>
      <c r="J55" s="19"/>
      <c r="K55" s="19"/>
      <c r="L55" s="19"/>
      <c r="M55" s="19"/>
      <c r="N55" s="19"/>
    </row>
    <row r="57" spans="1:15" x14ac:dyDescent="0.2">
      <c r="J57" s="20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opLeftCell="A31" zoomScale="110" zoomScaleNormal="110" workbookViewId="0">
      <selection activeCell="H45" sqref="H45:H53"/>
    </sheetView>
  </sheetViews>
  <sheetFormatPr defaultColWidth="11.5703125" defaultRowHeight="12.75" x14ac:dyDescent="0.2"/>
  <cols>
    <col min="1" max="1024" width="11.5703125" style="2"/>
  </cols>
  <sheetData>
    <row r="1" spans="1:15" x14ac:dyDescent="0.2">
      <c r="A1" s="6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</row>
    <row r="2" spans="1:15" x14ac:dyDescent="0.2">
      <c r="A2" s="6" t="s">
        <v>0</v>
      </c>
      <c r="B2" s="6">
        <v>23.822637557983398</v>
      </c>
      <c r="C2" s="6">
        <v>23.967655181884801</v>
      </c>
      <c r="D2" s="6">
        <v>23.818330764770501</v>
      </c>
      <c r="E2" s="6"/>
      <c r="F2" s="6">
        <v>18.4179172515869</v>
      </c>
      <c r="G2" s="6">
        <v>18.518529891967798</v>
      </c>
      <c r="H2" s="6">
        <v>18.284694671630898</v>
      </c>
    </row>
    <row r="3" spans="1:15" x14ac:dyDescent="0.2">
      <c r="A3" s="6" t="s">
        <v>1</v>
      </c>
      <c r="B3" s="6">
        <v>25.996311187744102</v>
      </c>
      <c r="C3" s="6">
        <v>26.123210906982401</v>
      </c>
      <c r="D3" s="6">
        <v>26.078807830810501</v>
      </c>
      <c r="E3" s="6"/>
      <c r="F3" s="6">
        <v>20.566362380981399</v>
      </c>
      <c r="G3" s="6">
        <v>20.3296813964844</v>
      </c>
      <c r="H3" s="6">
        <v>20.408000946044901</v>
      </c>
    </row>
    <row r="4" spans="1:15" x14ac:dyDescent="0.2">
      <c r="A4" s="6" t="s">
        <v>2</v>
      </c>
      <c r="B4" s="6">
        <v>28.297664642333999</v>
      </c>
      <c r="C4" s="6">
        <v>28.343894958496101</v>
      </c>
      <c r="D4" s="6">
        <v>28.245845794677699</v>
      </c>
      <c r="E4" s="6"/>
      <c r="F4" s="6">
        <v>23.943620681762699</v>
      </c>
      <c r="G4" s="6">
        <v>23.904453277587901</v>
      </c>
      <c r="H4" s="6">
        <v>23.7762775421143</v>
      </c>
    </row>
    <row r="5" spans="1:15" x14ac:dyDescent="0.2">
      <c r="A5" s="6" t="s">
        <v>3</v>
      </c>
      <c r="B5" s="6">
        <v>30.492000579833999</v>
      </c>
      <c r="C5" s="6">
        <v>30.742618560791001</v>
      </c>
      <c r="D5" s="6">
        <v>30.967836380004901</v>
      </c>
      <c r="E5" s="6"/>
      <c r="F5" s="6">
        <v>25.906204223632798</v>
      </c>
      <c r="G5" s="6">
        <v>25.827226638793899</v>
      </c>
      <c r="H5" s="6">
        <v>25.660232543945298</v>
      </c>
    </row>
    <row r="6" spans="1:15" x14ac:dyDescent="0.2">
      <c r="A6" s="6" t="s">
        <v>4</v>
      </c>
      <c r="B6" s="6">
        <v>25.867799758911101</v>
      </c>
      <c r="C6" s="6">
        <v>26.434497833251999</v>
      </c>
      <c r="D6" s="6">
        <v>26.258050918579102</v>
      </c>
      <c r="E6" s="6"/>
      <c r="F6" s="6">
        <v>24.295110702514599</v>
      </c>
      <c r="G6" s="6">
        <v>24.070796966552699</v>
      </c>
      <c r="H6" s="6">
        <v>24.176397323608398</v>
      </c>
    </row>
    <row r="7" spans="1:15" x14ac:dyDescent="0.2">
      <c r="A7" s="6" t="s">
        <v>5</v>
      </c>
      <c r="B7" s="6">
        <v>27.918775558471701</v>
      </c>
      <c r="C7" s="6">
        <v>27.8952541351318</v>
      </c>
      <c r="D7" s="6">
        <v>28.2317218780518</v>
      </c>
      <c r="E7" s="6"/>
      <c r="F7" s="6">
        <v>26.0169773101807</v>
      </c>
      <c r="G7" s="6">
        <v>25.975084304809599</v>
      </c>
      <c r="H7" s="6">
        <v>25.997877120971701</v>
      </c>
    </row>
    <row r="8" spans="1:15" x14ac:dyDescent="0.2">
      <c r="A8" s="6" t="s">
        <v>7</v>
      </c>
      <c r="B8" s="6">
        <v>27.6563205718994</v>
      </c>
      <c r="C8" s="6">
        <v>27.552892684936499</v>
      </c>
      <c r="D8" s="6">
        <v>27.769039154052699</v>
      </c>
      <c r="E8" s="6"/>
      <c r="F8" s="6">
        <v>25.505088806152301</v>
      </c>
      <c r="G8" s="6">
        <v>25.451652526855501</v>
      </c>
      <c r="H8" s="6">
        <v>25.616643905639599</v>
      </c>
    </row>
    <row r="9" spans="1:15" x14ac:dyDescent="0.2">
      <c r="A9" s="6" t="s">
        <v>8</v>
      </c>
      <c r="B9" s="6">
        <v>27.4582195281982</v>
      </c>
      <c r="C9" s="6">
        <v>27.9401760101318</v>
      </c>
      <c r="D9" s="6">
        <v>27.919345855712901</v>
      </c>
      <c r="E9" s="6"/>
      <c r="F9" s="6">
        <v>27.1297397613525</v>
      </c>
      <c r="G9" s="6">
        <v>27.152271270751999</v>
      </c>
      <c r="H9" s="6">
        <v>26.976768493652301</v>
      </c>
    </row>
    <row r="12" spans="1:15" x14ac:dyDescent="0.2">
      <c r="A12" s="22"/>
      <c r="B12" s="6" t="s">
        <v>9</v>
      </c>
      <c r="C12" s="6" t="s">
        <v>10</v>
      </c>
      <c r="D12" s="6" t="s">
        <v>11</v>
      </c>
      <c r="E12" s="6" t="s">
        <v>12</v>
      </c>
      <c r="F12" s="6" t="s">
        <v>9</v>
      </c>
      <c r="G12" s="6" t="s">
        <v>10</v>
      </c>
      <c r="H12" s="6" t="s">
        <v>13</v>
      </c>
      <c r="I12" s="6" t="s">
        <v>14</v>
      </c>
      <c r="J12" s="22"/>
      <c r="K12" s="22"/>
      <c r="L12" s="22"/>
      <c r="M12" s="22"/>
      <c r="N12" s="22"/>
      <c r="O12" s="22"/>
    </row>
    <row r="13" spans="1:15" x14ac:dyDescent="0.2">
      <c r="A13" s="22"/>
      <c r="B13" s="6">
        <v>40063.74</v>
      </c>
      <c r="C13" s="6">
        <f>LOG(B13)</f>
        <v>4.6027514887804868</v>
      </c>
      <c r="D13" s="6">
        <f>AVERAGE(B2:E2)</f>
        <v>23.869541168212901</v>
      </c>
      <c r="E13" s="6">
        <f>_xlfn.STDEV.S(B2:E2)/D13</f>
        <v>3.5608774531947353E-3</v>
      </c>
      <c r="F13" s="6">
        <v>16012.04</v>
      </c>
      <c r="G13" s="6">
        <f>LOG(F13)</f>
        <v>4.204446666354225</v>
      </c>
      <c r="H13" s="6">
        <f>AVERAGE(F2:H2)</f>
        <v>18.407047271728533</v>
      </c>
      <c r="I13" s="6">
        <f>_xlfn.STDEV.S(B6:E6)/H13</f>
        <v>1.5754463675470114E-2</v>
      </c>
      <c r="J13" s="22"/>
      <c r="K13" s="22"/>
      <c r="L13" s="22"/>
      <c r="M13" s="22"/>
      <c r="N13" s="22"/>
      <c r="O13" s="22"/>
    </row>
    <row r="14" spans="1:15" x14ac:dyDescent="0.2">
      <c r="A14" s="22"/>
      <c r="B14" s="6">
        <v>8012.75</v>
      </c>
      <c r="C14" s="6">
        <f>LOG(B14)</f>
        <v>3.9037815928453381</v>
      </c>
      <c r="D14" s="6">
        <f>AVERAGE(B3:E3)</f>
        <v>26.066109975179003</v>
      </c>
      <c r="E14" s="6">
        <f>_xlfn.STDEV.S(B3:E3)/D14</f>
        <v>2.4704775714297967E-3</v>
      </c>
      <c r="F14" s="6">
        <v>3202.41</v>
      </c>
      <c r="G14" s="6">
        <f>LOG(F14)</f>
        <v>3.5054769332480724</v>
      </c>
      <c r="H14" s="6">
        <f>AVERAGE(F3:H3)</f>
        <v>20.434681574503568</v>
      </c>
      <c r="I14" s="6">
        <f>_xlfn.STDEV.S(B7:E7)/H14</f>
        <v>9.192128922636501E-3</v>
      </c>
      <c r="J14" s="22"/>
      <c r="K14" s="22"/>
      <c r="L14" s="22"/>
      <c r="M14" s="22"/>
      <c r="N14" s="22"/>
      <c r="O14" s="22"/>
    </row>
    <row r="15" spans="1:15" x14ac:dyDescent="0.2">
      <c r="A15" s="22"/>
      <c r="B15" s="6">
        <v>1602.55</v>
      </c>
      <c r="C15" s="6">
        <f>LOG(B15)</f>
        <v>3.2048115885093194</v>
      </c>
      <c r="D15" s="6">
        <f>AVERAGE(B4:E4)</f>
        <v>28.295801798502598</v>
      </c>
      <c r="E15" s="6">
        <f>_xlfn.STDEV.S(B4:E4)/D15</f>
        <v>1.7335122473073913E-3</v>
      </c>
      <c r="F15" s="6">
        <v>640.48</v>
      </c>
      <c r="G15" s="6">
        <f>LOG(F15)</f>
        <v>2.8065055727610297</v>
      </c>
      <c r="H15" s="6">
        <f>AVERAGE(F4:H4)</f>
        <v>23.874783833821635</v>
      </c>
      <c r="I15" s="6">
        <f>_xlfn.STDEV.S(B8:E8)/H15</f>
        <v>4.5280622828044606E-3</v>
      </c>
      <c r="J15" s="22"/>
      <c r="K15" s="22"/>
      <c r="L15" s="22"/>
      <c r="M15" s="22"/>
      <c r="N15" s="22"/>
      <c r="O15" s="22"/>
    </row>
    <row r="16" spans="1:15" x14ac:dyDescent="0.2">
      <c r="A16" s="22"/>
      <c r="B16" s="6">
        <v>320.51</v>
      </c>
      <c r="C16" s="6">
        <f>LOG(B16)</f>
        <v>2.5058415841733006</v>
      </c>
      <c r="D16" s="6">
        <f>AVERAGE(B5:E5)</f>
        <v>30.734151840209964</v>
      </c>
      <c r="E16" s="6">
        <f>_xlfn.STDEV.S(B5:E5)/D16</f>
        <v>7.7448326246413665E-3</v>
      </c>
      <c r="F16" s="6">
        <v>128.1</v>
      </c>
      <c r="G16" s="6">
        <f>LOG(F16)</f>
        <v>2.1075491297446862</v>
      </c>
      <c r="H16" s="6">
        <f>AVERAGE(F5:H5)</f>
        <v>25.797887802123999</v>
      </c>
      <c r="I16" s="6">
        <f>_xlfn.STDEV.S(B9:E9)/H16</f>
        <v>1.056069812807095E-2</v>
      </c>
      <c r="J16" s="22"/>
      <c r="K16" s="22" t="s">
        <v>15</v>
      </c>
      <c r="L16" s="22">
        <v>-3.66</v>
      </c>
      <c r="M16" s="22">
        <v>33.69</v>
      </c>
      <c r="N16" s="22"/>
      <c r="O16" s="22"/>
    </row>
    <row r="17" spans="1:15" x14ac:dyDescent="0.2">
      <c r="A17" s="22"/>
      <c r="B17" s="26"/>
      <c r="C17" s="22"/>
      <c r="D17" s="22"/>
      <c r="E17" s="22"/>
      <c r="F17" s="27"/>
      <c r="G17" s="22"/>
      <c r="H17" s="22"/>
      <c r="I17" s="22"/>
      <c r="J17" s="22"/>
      <c r="K17" s="22" t="s">
        <v>16</v>
      </c>
      <c r="L17" s="22">
        <v>-3.27</v>
      </c>
      <c r="M17" s="22">
        <v>38.799999999999997</v>
      </c>
      <c r="N17" s="22"/>
      <c r="O17" s="22"/>
    </row>
    <row r="18" spans="1:15" x14ac:dyDescent="0.2">
      <c r="A18" s="22"/>
      <c r="B18" s="2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24" x14ac:dyDescent="0.2">
      <c r="A21" s="6" t="s">
        <v>17</v>
      </c>
      <c r="B21" s="6" t="s">
        <v>10</v>
      </c>
      <c r="C21" s="6" t="s">
        <v>10</v>
      </c>
      <c r="D21" s="6" t="s">
        <v>10</v>
      </c>
      <c r="E21" s="6" t="s">
        <v>10</v>
      </c>
      <c r="F21" s="6" t="s">
        <v>18</v>
      </c>
      <c r="G21" s="6" t="s">
        <v>19</v>
      </c>
      <c r="H21" s="6" t="s">
        <v>10</v>
      </c>
      <c r="I21" s="6" t="s">
        <v>10</v>
      </c>
      <c r="J21" s="6" t="s">
        <v>10</v>
      </c>
      <c r="K21" s="6" t="s">
        <v>10</v>
      </c>
      <c r="L21" s="6" t="s">
        <v>18</v>
      </c>
      <c r="M21" s="6" t="s">
        <v>19</v>
      </c>
      <c r="N21" s="6" t="s">
        <v>20</v>
      </c>
      <c r="O21" s="6" t="s">
        <v>21</v>
      </c>
    </row>
    <row r="22" spans="1:15" x14ac:dyDescent="0.2">
      <c r="A22" s="7" t="s">
        <v>22</v>
      </c>
      <c r="B22" s="6">
        <f t="shared" ref="B22:D25" si="0">10^((B6-$M$17)/$L$17)</f>
        <v>9011.5873553961974</v>
      </c>
      <c r="C22" s="6">
        <f t="shared" si="0"/>
        <v>6046.4314505203884</v>
      </c>
      <c r="D22" s="6">
        <f t="shared" si="0"/>
        <v>6846.3395523200161</v>
      </c>
      <c r="E22" s="6"/>
      <c r="F22" s="6">
        <f>AVERAGE(B22:E22)</f>
        <v>7301.4527860788667</v>
      </c>
      <c r="G22" s="8">
        <f>_xlfn.STDEV.S(B22:D22)/F22</f>
        <v>0.21010532722862221</v>
      </c>
      <c r="H22" s="6">
        <f t="shared" ref="H22:J25" si="1">10^((F6-$M$16)/$L$16)</f>
        <v>368.90083999165444</v>
      </c>
      <c r="I22" s="6">
        <f t="shared" si="1"/>
        <v>424.812757117003</v>
      </c>
      <c r="J22" s="6">
        <f t="shared" si="1"/>
        <v>397.50719465677241</v>
      </c>
      <c r="K22" s="6"/>
      <c r="L22" s="6">
        <f>AVERAGE(H22:K22)</f>
        <v>397.07359725514334</v>
      </c>
      <c r="M22" s="8">
        <f>_xlfn.STDEV.S(H22:J22) / L22</f>
        <v>7.0411330685058143E-2</v>
      </c>
      <c r="N22" s="6">
        <f>F22/L22</f>
        <v>18.388159868980789</v>
      </c>
      <c r="O22" s="10">
        <f>SQRT(G22^2+M22^2) * N22</f>
        <v>4.0746271970564703</v>
      </c>
    </row>
    <row r="23" spans="1:15" x14ac:dyDescent="0.2">
      <c r="A23" s="7" t="s">
        <v>23</v>
      </c>
      <c r="B23" s="6">
        <f t="shared" si="0"/>
        <v>2126.1386008478976</v>
      </c>
      <c r="C23" s="6">
        <f t="shared" si="0"/>
        <v>2161.6464706494021</v>
      </c>
      <c r="D23" s="6">
        <f t="shared" si="0"/>
        <v>1705.6477038091016</v>
      </c>
      <c r="E23" s="6"/>
      <c r="F23" s="6">
        <f>AVERAGE(B23:E23)</f>
        <v>1997.8109251021335</v>
      </c>
      <c r="G23" s="8">
        <f>_xlfn.STDEV.S(B23:D23)/F23</f>
        <v>0.12696040541883438</v>
      </c>
      <c r="H23" s="6">
        <f t="shared" si="1"/>
        <v>124.86890026035439</v>
      </c>
      <c r="I23" s="6">
        <f t="shared" si="1"/>
        <v>128.20367163859103</v>
      </c>
      <c r="J23" s="6">
        <f t="shared" si="1"/>
        <v>126.3784189272083</v>
      </c>
      <c r="K23" s="6"/>
      <c r="L23" s="6">
        <f>AVERAGE(H23:K23)</f>
        <v>126.4836636087179</v>
      </c>
      <c r="M23" s="8">
        <f>_xlfn.STDEV.S(H23:J23) / L23</f>
        <v>1.3202297500789897E-2</v>
      </c>
      <c r="N23" s="6">
        <f>F23/L23</f>
        <v>15.795011530362045</v>
      </c>
      <c r="O23" s="10">
        <f>SQRT(G23^2+M23^2) * N23</f>
        <v>2.0161541959608407</v>
      </c>
    </row>
    <row r="24" spans="1:15" x14ac:dyDescent="0.2">
      <c r="A24" s="7" t="s">
        <v>24</v>
      </c>
      <c r="B24" s="6">
        <f t="shared" si="0"/>
        <v>2557.720215985602</v>
      </c>
      <c r="C24" s="6">
        <f t="shared" si="0"/>
        <v>2750.9478616795959</v>
      </c>
      <c r="D24" s="6">
        <f t="shared" si="0"/>
        <v>2362.5582317521817</v>
      </c>
      <c r="E24" s="6"/>
      <c r="F24" s="6">
        <f>AVERAGE(B24:D24)</f>
        <v>2557.0754364724598</v>
      </c>
      <c r="G24" s="8">
        <f>_xlfn.STDEV.S(B24:D24)/F24</f>
        <v>7.5944422682378734E-2</v>
      </c>
      <c r="H24" s="6">
        <f t="shared" si="1"/>
        <v>172.31160743694699</v>
      </c>
      <c r="I24" s="6">
        <f t="shared" si="1"/>
        <v>178.20283552213286</v>
      </c>
      <c r="J24" s="6">
        <f t="shared" si="1"/>
        <v>160.63308436444507</v>
      </c>
      <c r="K24" s="6"/>
      <c r="L24" s="6">
        <f>AVERAGE(H24:K24)</f>
        <v>170.38250910784163</v>
      </c>
      <c r="M24" s="8">
        <f>_xlfn.STDEV.S(H24:J24) / L24</f>
        <v>5.2483796664283676E-2</v>
      </c>
      <c r="N24" s="6">
        <f>F24/L24</f>
        <v>15.007851744065986</v>
      </c>
      <c r="O24" s="10">
        <f>SQRT(G24^2+M24^2) * N24</f>
        <v>1.3854534935621958</v>
      </c>
    </row>
    <row r="25" spans="1:15" x14ac:dyDescent="0.2">
      <c r="A25" s="7" t="s">
        <v>25</v>
      </c>
      <c r="B25" s="6">
        <f t="shared" si="0"/>
        <v>2940.5894518460423</v>
      </c>
      <c r="C25" s="6">
        <f t="shared" si="0"/>
        <v>2094.3395383313073</v>
      </c>
      <c r="D25" s="6">
        <f t="shared" si="0"/>
        <v>2125.2849631605072</v>
      </c>
      <c r="E25" s="6"/>
      <c r="F25" s="6">
        <f>AVERAGE(B25:E25)</f>
        <v>2386.7379844459524</v>
      </c>
      <c r="G25" s="8">
        <f>_xlfn.STDEV.S(B25:D25)/F25</f>
        <v>0.20106896576965899</v>
      </c>
      <c r="H25" s="6">
        <f t="shared" si="1"/>
        <v>62.004160278696119</v>
      </c>
      <c r="I25" s="6">
        <f t="shared" si="1"/>
        <v>61.131447609222079</v>
      </c>
      <c r="J25" s="6">
        <f t="shared" si="1"/>
        <v>68.267855186142654</v>
      </c>
      <c r="K25" s="6"/>
      <c r="L25" s="6">
        <f>AVERAGE(H25:K25)</f>
        <v>63.801154358020284</v>
      </c>
      <c r="M25" s="8">
        <f>_xlfn.STDEV.S(H25:J25) / L25</f>
        <v>6.1014725491179152E-2</v>
      </c>
      <c r="N25" s="6">
        <f>F25/L25</f>
        <v>37.409009420938816</v>
      </c>
      <c r="O25" s="10">
        <f>SQRT(G25^2+M25^2) * N25</f>
        <v>7.8604799868315265</v>
      </c>
    </row>
    <row r="29" spans="1:15" ht="24" x14ac:dyDescent="0.2">
      <c r="H29" s="11" t="s">
        <v>26</v>
      </c>
    </row>
    <row r="30" spans="1:15" x14ac:dyDescent="0.2">
      <c r="H30" s="2" t="s">
        <v>27</v>
      </c>
      <c r="I30" s="2">
        <v>0.05</v>
      </c>
    </row>
    <row r="31" spans="1:15" x14ac:dyDescent="0.2">
      <c r="B31" s="2">
        <f t="shared" ref="B31:D34" si="2">B22 / H22</f>
        <v>24.428210452435035</v>
      </c>
      <c r="C31" s="2">
        <f t="shared" si="2"/>
        <v>14.233168258774924</v>
      </c>
      <c r="D31" s="2">
        <f t="shared" si="2"/>
        <v>17.223183993516113</v>
      </c>
    </row>
    <row r="32" spans="1:15" x14ac:dyDescent="0.2">
      <c r="B32" s="2">
        <f t="shared" si="2"/>
        <v>17.026966653945475</v>
      </c>
      <c r="C32" s="2">
        <f t="shared" si="2"/>
        <v>16.861034032965382</v>
      </c>
      <c r="D32" s="2">
        <f t="shared" si="2"/>
        <v>13.496352607414119</v>
      </c>
      <c r="H32" s="21" t="s">
        <v>28</v>
      </c>
      <c r="I32" s="21" t="s">
        <v>29</v>
      </c>
      <c r="J32" s="21" t="s">
        <v>30</v>
      </c>
      <c r="K32" s="21" t="s">
        <v>18</v>
      </c>
      <c r="L32" s="21" t="s">
        <v>31</v>
      </c>
    </row>
    <row r="33" spans="1:14" x14ac:dyDescent="0.2">
      <c r="A33" s="14"/>
      <c r="B33" s="2">
        <f t="shared" si="2"/>
        <v>14.843574696043238</v>
      </c>
      <c r="C33" s="2">
        <f t="shared" si="2"/>
        <v>15.437172217935483</v>
      </c>
      <c r="D33" s="2">
        <f t="shared" si="2"/>
        <v>14.70779348538187</v>
      </c>
      <c r="H33" s="2" t="s">
        <v>32</v>
      </c>
      <c r="I33" s="2">
        <f>COUNT('b-FSH'!$B$31:$D$31)</f>
        <v>3</v>
      </c>
      <c r="J33" s="2">
        <f>SUM('b-FSH'!$B$31:$D$31)</f>
        <v>55.884562704726079</v>
      </c>
      <c r="K33" s="2">
        <f>AVERAGE('b-FSH'!$B$31:$D$31)</f>
        <v>18.628187568242026</v>
      </c>
      <c r="L33" s="2">
        <f>VAR('b-FSH'!$B$31:$D$31)</f>
        <v>27.465247616371812</v>
      </c>
      <c r="M33" s="12">
        <f>AVERAGE(L33:L36)</f>
        <v>26.589020170808066</v>
      </c>
    </row>
    <row r="34" spans="1:14" x14ac:dyDescent="0.2">
      <c r="B34" s="2">
        <f t="shared" si="2"/>
        <v>47.425679803237223</v>
      </c>
      <c r="C34" s="2">
        <f t="shared" si="2"/>
        <v>34.25960974651224</v>
      </c>
      <c r="D34" s="2">
        <f t="shared" si="2"/>
        <v>31.131561953507923</v>
      </c>
      <c r="H34" s="2" t="s">
        <v>33</v>
      </c>
      <c r="I34" s="2">
        <f>COUNT('b-FSH'!$B$32:$D$32)</f>
        <v>3</v>
      </c>
      <c r="J34" s="2">
        <f>SUM('b-FSH'!$B$32:$D$32)</f>
        <v>47.384353294324974</v>
      </c>
      <c r="K34" s="2">
        <f>AVERAGE('b-FSH'!$B$32:$D$32)</f>
        <v>15.794784431441657</v>
      </c>
      <c r="L34" s="2">
        <f>VAR('b-FSH'!$B$32:$D$32)</f>
        <v>3.968975045953357</v>
      </c>
    </row>
    <row r="35" spans="1:14" x14ac:dyDescent="0.2">
      <c r="C35" s="4"/>
      <c r="H35" s="2" t="s">
        <v>34</v>
      </c>
      <c r="I35" s="2">
        <f>COUNT('b-FSH'!$B$33:$D$33)</f>
        <v>3</v>
      </c>
      <c r="J35" s="2">
        <f>SUM('b-FSH'!$B$33:$D$33)</f>
        <v>44.988540399360588</v>
      </c>
      <c r="K35" s="2">
        <f>AVERAGE('b-FSH'!$B$33:$D$33)</f>
        <v>14.996180133120196</v>
      </c>
      <c r="L35" s="2">
        <f>VAR('b-FSH'!$B$33:$D$33)</f>
        <v>0.15046464844446611</v>
      </c>
    </row>
    <row r="36" spans="1:14" x14ac:dyDescent="0.2">
      <c r="H36" s="22" t="s">
        <v>35</v>
      </c>
      <c r="I36" s="22">
        <f>COUNT('b-FSH'!$B$34:$D$34)</f>
        <v>3</v>
      </c>
      <c r="J36" s="22">
        <f>SUM('b-FSH'!$B$34:$D$34)</f>
        <v>112.81685150325738</v>
      </c>
      <c r="K36" s="22">
        <f>AVERAGE('b-FSH'!$B$34:$D$34)</f>
        <v>37.605617167752463</v>
      </c>
      <c r="L36" s="22">
        <f>VAR('b-FSH'!$B$34:$D$34)</f>
        <v>74.771393372462626</v>
      </c>
    </row>
    <row r="37" spans="1:14" x14ac:dyDescent="0.2">
      <c r="A37" s="16"/>
    </row>
    <row r="38" spans="1:14" ht="24" x14ac:dyDescent="0.2">
      <c r="A38" s="16"/>
      <c r="H38" s="2" t="s">
        <v>36</v>
      </c>
      <c r="I38" s="2" t="s">
        <v>37</v>
      </c>
      <c r="J38" s="2" t="s">
        <v>38</v>
      </c>
      <c r="K38" s="2" t="s">
        <v>39</v>
      </c>
      <c r="L38" s="2" t="s">
        <v>5</v>
      </c>
      <c r="M38" s="2" t="s">
        <v>40</v>
      </c>
      <c r="N38" s="2" t="s">
        <v>41</v>
      </c>
    </row>
    <row r="39" spans="1:14" ht="24" x14ac:dyDescent="0.2">
      <c r="A39" s="16"/>
      <c r="H39" s="2" t="s">
        <v>42</v>
      </c>
      <c r="I39" s="2">
        <f>SUMPRODUCT('b-FSH'!$J$33:$J$36,'b-FSH'!$K$33:$K$36)-SUM('b-FSH'!$J$33:$J$36)^2/SUM('b-FSH'!$I$33:$I$36)</f>
        <v>1026.6744915363079</v>
      </c>
      <c r="J39" s="2">
        <f>COUNT('b-FSH'!$J$33:$J$36)-1</f>
        <v>3</v>
      </c>
      <c r="K39" s="2">
        <f>'b-FSH'!$I$39 / 'b-FSH'!$J$39</f>
        <v>342.22483051210264</v>
      </c>
      <c r="L39" s="2">
        <f>'b-FSH'!$K$39 / 'b-FSH'!$K$40</f>
        <v>12.8709079279209</v>
      </c>
      <c r="M39" s="2">
        <f>FDIST('b-FSH'!$L$39, 'b-FSH'!$J$39, 'b-FSH'!$J$40)</f>
        <v>1.9829680799142682E-3</v>
      </c>
      <c r="N39" s="2">
        <f>FINV('b-FSH'!$I$30, 'b-FSH'!$J$39, 'b-FSH'!$J$40)</f>
        <v>4.0661805513511613</v>
      </c>
    </row>
    <row r="40" spans="1:14" ht="24" x14ac:dyDescent="0.2">
      <c r="H40" s="21" t="s">
        <v>43</v>
      </c>
      <c r="I40" s="21">
        <f>SUM(DEVSQ('b-FSH'!$B$31:$D$31),DEVSQ('b-FSH'!$B$32:$D$32),DEVSQ('b-FSH'!$B$33:$D$33),DEVSQ('b-FSH'!$B$34:$D$34))</f>
        <v>212.71216136646476</v>
      </c>
      <c r="J40" s="21">
        <f>SUM('b-FSH'!$I$33:$I$36)-COUNT('b-FSH'!$I$33:$I$36)</f>
        <v>8</v>
      </c>
      <c r="K40" s="21">
        <f>'b-FSH'!$I$40 / 'b-FSH'!$J$40</f>
        <v>26.589020170808094</v>
      </c>
      <c r="L40" s="21"/>
      <c r="M40" s="21"/>
      <c r="N40" s="21"/>
    </row>
    <row r="41" spans="1:14" x14ac:dyDescent="0.2">
      <c r="H41" s="2" t="s">
        <v>44</v>
      </c>
      <c r="I41" s="2">
        <f>DEVSQ('b-FSH'!$B$31:$D$31,'b-FSH'!$B$32:$D$32,'b-FSH'!$B$33:$D$33,'b-FSH'!$B$34:$D$34)</f>
        <v>1239.386652902773</v>
      </c>
      <c r="J41" s="2">
        <f>SUM('b-FSH'!$I$33:$I$36) - 1</f>
        <v>11</v>
      </c>
    </row>
    <row r="44" spans="1:14" ht="24" x14ac:dyDescent="0.2">
      <c r="H44" s="2" t="s">
        <v>28</v>
      </c>
      <c r="I44" s="2" t="s">
        <v>45</v>
      </c>
      <c r="J44" s="2" t="s">
        <v>46</v>
      </c>
      <c r="K44" s="2" t="s">
        <v>47</v>
      </c>
      <c r="L44" s="22"/>
      <c r="M44" s="22"/>
      <c r="N44" s="22"/>
    </row>
    <row r="45" spans="1:14" x14ac:dyDescent="0.2">
      <c r="H45" s="2" t="s">
        <v>51</v>
      </c>
      <c r="I45" s="2">
        <f>ABS(K33 - K34)</f>
        <v>2.8334031368003689</v>
      </c>
      <c r="J45" s="12">
        <f>$J$52 * (SQRT($M$33/4))</f>
        <v>10.18399709366407</v>
      </c>
      <c r="K45" s="12">
        <f t="shared" ref="K45:K50" si="3">IF(I45&gt;$J$45, 1, 0)</f>
        <v>0</v>
      </c>
    </row>
    <row r="46" spans="1:14" x14ac:dyDescent="0.2">
      <c r="H46" s="2" t="s">
        <v>52</v>
      </c>
      <c r="I46" s="2">
        <f>ABS(K33 - K35)</f>
        <v>3.6320074351218299</v>
      </c>
      <c r="J46" s="12"/>
      <c r="K46" s="12">
        <f t="shared" si="3"/>
        <v>0</v>
      </c>
    </row>
    <row r="47" spans="1:14" x14ac:dyDescent="0.2">
      <c r="H47" s="2" t="s">
        <v>53</v>
      </c>
      <c r="I47" s="2">
        <f>ABS(K33 - K36)</f>
        <v>18.977429599510437</v>
      </c>
      <c r="J47" s="12"/>
      <c r="K47" s="12">
        <f t="shared" si="3"/>
        <v>1</v>
      </c>
    </row>
    <row r="48" spans="1:14" x14ac:dyDescent="0.2">
      <c r="H48" s="2" t="s">
        <v>54</v>
      </c>
      <c r="I48" s="2">
        <f>ABS(K34 - K35)</f>
        <v>0.79860429832146096</v>
      </c>
      <c r="J48" s="12"/>
      <c r="K48" s="12">
        <f t="shared" si="3"/>
        <v>0</v>
      </c>
    </row>
    <row r="49" spans="1:11" x14ac:dyDescent="0.2">
      <c r="B49" s="5"/>
      <c r="H49" s="2" t="s">
        <v>55</v>
      </c>
      <c r="I49" s="2">
        <f>ABS(K34 - K36)</f>
        <v>21.810832736310807</v>
      </c>
      <c r="J49" s="12"/>
      <c r="K49" s="12">
        <f t="shared" si="3"/>
        <v>1</v>
      </c>
    </row>
    <row r="50" spans="1:11" x14ac:dyDescent="0.2">
      <c r="A50" s="16"/>
      <c r="B50" s="5"/>
      <c r="H50" s="2" t="s">
        <v>56</v>
      </c>
      <c r="I50" s="2">
        <f>ABS(K35 - K36)</f>
        <v>22.609437034632265</v>
      </c>
      <c r="J50" s="12"/>
      <c r="K50" s="12">
        <f t="shared" si="3"/>
        <v>1</v>
      </c>
    </row>
    <row r="51" spans="1:11" x14ac:dyDescent="0.2">
      <c r="A51" s="16"/>
      <c r="B51" s="5"/>
    </row>
    <row r="52" spans="1:11" x14ac:dyDescent="0.2">
      <c r="A52" s="16"/>
      <c r="B52" s="5"/>
      <c r="I52" s="12" t="s">
        <v>48</v>
      </c>
      <c r="J52" s="2">
        <v>3.95</v>
      </c>
    </row>
    <row r="53" spans="1:11" x14ac:dyDescent="0.2">
      <c r="B53" s="5"/>
    </row>
    <row r="54" spans="1:11" x14ac:dyDescent="0.2">
      <c r="B54" s="5"/>
    </row>
    <row r="55" spans="1:11" x14ac:dyDescent="0.2">
      <c r="B55" s="5"/>
      <c r="J55" s="23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7"/>
  <sheetViews>
    <sheetView topLeftCell="B13" zoomScale="110" zoomScaleNormal="110" workbookViewId="0">
      <selection activeCell="N42" sqref="N42"/>
    </sheetView>
  </sheetViews>
  <sheetFormatPr defaultColWidth="11.5703125" defaultRowHeight="12.75" x14ac:dyDescent="0.2"/>
  <cols>
    <col min="1" max="1024" width="11.5703125" style="2"/>
  </cols>
  <sheetData>
    <row r="1" spans="1:16" x14ac:dyDescent="0.2">
      <c r="A1" s="6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</row>
    <row r="2" spans="1:16" x14ac:dyDescent="0.2">
      <c r="A2" s="6" t="s">
        <v>0</v>
      </c>
      <c r="B2" s="6">
        <v>26.395938873291001</v>
      </c>
      <c r="C2" s="6">
        <v>26.1238803863525</v>
      </c>
      <c r="D2" s="6">
        <v>25.8926696777344</v>
      </c>
      <c r="E2" s="6">
        <v>25.672958374023398</v>
      </c>
      <c r="F2" s="6">
        <v>24.662044525146499</v>
      </c>
      <c r="G2" s="6">
        <v>24.605922698974599</v>
      </c>
      <c r="H2" s="6">
        <v>24.825649261474599</v>
      </c>
      <c r="I2" s="6">
        <v>24.656496047973601</v>
      </c>
    </row>
    <row r="3" spans="1:16" x14ac:dyDescent="0.2">
      <c r="A3" s="6" t="s">
        <v>1</v>
      </c>
      <c r="B3" s="6">
        <v>28.742734909057599</v>
      </c>
      <c r="C3" s="6">
        <v>28.495122909545898</v>
      </c>
      <c r="D3" s="6">
        <v>28.581800460815401</v>
      </c>
      <c r="E3" s="6">
        <v>28.633031845092798</v>
      </c>
      <c r="F3" s="6">
        <v>27.0398769378662</v>
      </c>
      <c r="G3" s="6">
        <v>27.126731872558601</v>
      </c>
      <c r="H3" s="6">
        <v>27.0808200836182</v>
      </c>
      <c r="I3" s="6">
        <v>27.3010768890381</v>
      </c>
    </row>
    <row r="4" spans="1:16" x14ac:dyDescent="0.2">
      <c r="A4" s="6" t="s">
        <v>2</v>
      </c>
      <c r="B4" s="6">
        <v>29.995216369628899</v>
      </c>
      <c r="C4" s="6">
        <v>30.251026153564499</v>
      </c>
      <c r="D4" s="6">
        <v>29.751714706420898</v>
      </c>
      <c r="E4" s="6">
        <v>29.860965728759801</v>
      </c>
      <c r="F4" s="6">
        <v>28.988451004028299</v>
      </c>
      <c r="G4" s="6">
        <v>28.949689865112301</v>
      </c>
      <c r="H4" s="6">
        <v>29.323713302612301</v>
      </c>
      <c r="I4" s="6">
        <v>29.540037155151399</v>
      </c>
    </row>
    <row r="5" spans="1:16" x14ac:dyDescent="0.2">
      <c r="A5" s="6" t="s">
        <v>3</v>
      </c>
      <c r="B5" s="6">
        <v>32.9651069641113</v>
      </c>
      <c r="C5" s="6">
        <v>33.359771728515597</v>
      </c>
      <c r="D5" s="6">
        <v>32.920909881591797</v>
      </c>
      <c r="E5" s="6">
        <v>32.1238403320312</v>
      </c>
      <c r="F5" s="6">
        <v>31.9287719726562</v>
      </c>
      <c r="G5" s="6">
        <v>31.457666397094702</v>
      </c>
      <c r="H5" s="6">
        <v>31.652193069458001</v>
      </c>
      <c r="I5" s="6">
        <v>31.4390983581543</v>
      </c>
    </row>
    <row r="6" spans="1:16" x14ac:dyDescent="0.2">
      <c r="A6" s="6" t="s">
        <v>4</v>
      </c>
      <c r="B6" s="6">
        <v>26.984643936157202</v>
      </c>
      <c r="C6" s="6">
        <v>26.923749923706101</v>
      </c>
      <c r="D6" s="6">
        <v>26.956962585449201</v>
      </c>
      <c r="E6" s="6">
        <v>26.967300415039102</v>
      </c>
      <c r="F6" s="6">
        <v>29.223699569702099</v>
      </c>
      <c r="G6" s="6">
        <v>28.896369934081999</v>
      </c>
      <c r="H6" s="6">
        <v>29.151725769043001</v>
      </c>
      <c r="I6" s="6">
        <v>29.148632049560501</v>
      </c>
    </row>
    <row r="7" spans="1:16" x14ac:dyDescent="0.2">
      <c r="A7" s="6" t="s">
        <v>5</v>
      </c>
      <c r="B7" s="6">
        <v>25.942918777465799</v>
      </c>
      <c r="C7" s="6">
        <v>25.9874172210693</v>
      </c>
      <c r="D7" s="6">
        <v>26.017337799072301</v>
      </c>
      <c r="E7" s="6">
        <v>26.117660522460898</v>
      </c>
      <c r="F7" s="6">
        <v>27.867469787597699</v>
      </c>
      <c r="G7" s="6">
        <v>27.617023468017599</v>
      </c>
      <c r="H7" s="6">
        <v>27.6775207519531</v>
      </c>
      <c r="I7" s="6">
        <v>28.101291656494102</v>
      </c>
    </row>
    <row r="8" spans="1:16" x14ac:dyDescent="0.2">
      <c r="A8" s="6" t="s">
        <v>7</v>
      </c>
      <c r="B8" s="6">
        <v>26.741704940795898</v>
      </c>
      <c r="C8" s="6">
        <v>26.756395339965799</v>
      </c>
      <c r="D8" s="6">
        <v>26.6885871887207</v>
      </c>
      <c r="E8" s="6">
        <v>26.978593826293899</v>
      </c>
      <c r="F8" s="6">
        <v>28.389226913452099</v>
      </c>
      <c r="G8" s="6">
        <v>28.412246704101602</v>
      </c>
      <c r="H8" s="6">
        <v>28.531652450561499</v>
      </c>
      <c r="I8" s="6">
        <v>29.603590011596701</v>
      </c>
    </row>
    <row r="9" spans="1:16" x14ac:dyDescent="0.2">
      <c r="A9" s="6" t="s">
        <v>8</v>
      </c>
      <c r="B9" s="6">
        <v>25.541469573974599</v>
      </c>
      <c r="C9" s="6">
        <v>25.834981918335</v>
      </c>
      <c r="D9" s="6">
        <v>25.633844375610298</v>
      </c>
      <c r="E9" s="6">
        <v>26.151197433471701</v>
      </c>
      <c r="F9" s="6">
        <v>27.891902923583999</v>
      </c>
      <c r="G9" s="6">
        <v>27.760145187377901</v>
      </c>
      <c r="H9" s="6">
        <v>27.3851203918457</v>
      </c>
      <c r="I9" s="6">
        <v>28.500181198120099</v>
      </c>
    </row>
    <row r="12" spans="1:16" x14ac:dyDescent="0.2">
      <c r="A12" s="22"/>
      <c r="B12" s="6" t="s">
        <v>9</v>
      </c>
      <c r="C12" s="6" t="s">
        <v>10</v>
      </c>
      <c r="D12" s="6" t="s">
        <v>11</v>
      </c>
      <c r="E12" s="6" t="s">
        <v>12</v>
      </c>
      <c r="F12" s="6" t="s">
        <v>9</v>
      </c>
      <c r="G12" s="6" t="s">
        <v>10</v>
      </c>
      <c r="H12" s="6" t="s">
        <v>13</v>
      </c>
      <c r="I12" s="6" t="s">
        <v>14</v>
      </c>
      <c r="J12" s="22"/>
      <c r="K12" s="22"/>
      <c r="L12" s="22"/>
      <c r="M12" s="22"/>
      <c r="N12" s="22"/>
      <c r="O12" s="22"/>
      <c r="P12" s="22"/>
    </row>
    <row r="13" spans="1:16" x14ac:dyDescent="0.2">
      <c r="A13" s="22"/>
      <c r="B13" s="6">
        <v>40063.74</v>
      </c>
      <c r="C13" s="6">
        <f>LOG(B13)</f>
        <v>4.6027514887804868</v>
      </c>
      <c r="D13" s="6">
        <f>AVERAGE(B2:E2)</f>
        <v>26.021361827850324</v>
      </c>
      <c r="E13" s="6">
        <f>_xlfn.STDEV.S(B2:E2)/D13</f>
        <v>1.1922885336588069E-2</v>
      </c>
      <c r="F13" s="6">
        <v>80060.210000000006</v>
      </c>
      <c r="G13" s="6">
        <f>LOG(F13)</f>
        <v>4.903416724936231</v>
      </c>
      <c r="H13" s="6">
        <f>AVERAGE(F2:I2)</f>
        <v>24.687528133392323</v>
      </c>
      <c r="I13" s="6">
        <f>_xlfn.STDEV.S(F2:I2)/H13</f>
        <v>3.8675403463921685E-3</v>
      </c>
      <c r="J13" s="22"/>
      <c r="K13" s="22"/>
      <c r="L13" s="22"/>
      <c r="M13" s="22"/>
      <c r="N13" s="22"/>
      <c r="O13" s="22"/>
      <c r="P13" s="22"/>
    </row>
    <row r="14" spans="1:16" x14ac:dyDescent="0.2">
      <c r="A14" s="22"/>
      <c r="B14" s="6">
        <v>8012.75</v>
      </c>
      <c r="C14" s="6">
        <f>LOG(B14)</f>
        <v>3.9037815928453381</v>
      </c>
      <c r="D14" s="6">
        <f>AVERAGE(B3:E3)</f>
        <v>28.613172531127926</v>
      </c>
      <c r="E14" s="6">
        <f>_xlfn.STDEV.S(B3:E3)/D14</f>
        <v>3.6151869436917938E-3</v>
      </c>
      <c r="F14" s="6">
        <v>16012.04</v>
      </c>
      <c r="G14" s="6">
        <f>LOG(F14)</f>
        <v>4.204446666354225</v>
      </c>
      <c r="H14" s="6">
        <f>AVERAGE(F3:I3)</f>
        <v>27.137126445770274</v>
      </c>
      <c r="I14" s="6">
        <f>_xlfn.STDEV.S(F3:I3)/H14</f>
        <v>4.234566985241368E-3</v>
      </c>
      <c r="J14" s="22"/>
      <c r="K14" s="22"/>
      <c r="L14" s="22"/>
      <c r="M14" s="22"/>
      <c r="N14" s="22"/>
      <c r="O14" s="22"/>
      <c r="P14" s="22"/>
    </row>
    <row r="15" spans="1:16" x14ac:dyDescent="0.2">
      <c r="A15" s="22"/>
      <c r="B15" s="6">
        <v>1602.55</v>
      </c>
      <c r="C15" s="6">
        <f>LOG(B15)</f>
        <v>3.2048115885093194</v>
      </c>
      <c r="D15" s="6">
        <f>AVERAGE(B4:E4)</f>
        <v>29.964730739593527</v>
      </c>
      <c r="E15" s="6">
        <f>_xlfn.STDEV.S(B4:E4)/D15</f>
        <v>7.1844724411728273E-3</v>
      </c>
      <c r="F15" s="6">
        <v>3202.41</v>
      </c>
      <c r="G15" s="6">
        <f>LOG(F15)</f>
        <v>3.5054769332480724</v>
      </c>
      <c r="H15" s="6">
        <f>AVERAGE(F4:I4)</f>
        <v>29.200472831726074</v>
      </c>
      <c r="I15" s="6">
        <f>_xlfn.STDEV.S(F4:I4)/H15</f>
        <v>9.6526303294750589E-3</v>
      </c>
      <c r="J15" s="22"/>
      <c r="K15" s="22"/>
      <c r="L15" s="22"/>
      <c r="M15" s="22"/>
      <c r="N15" s="22"/>
      <c r="O15" s="22"/>
      <c r="P15" s="22"/>
    </row>
    <row r="16" spans="1:16" x14ac:dyDescent="0.2">
      <c r="A16" s="22"/>
      <c r="B16" s="6">
        <v>320.51</v>
      </c>
      <c r="C16" s="6">
        <f>LOG(B16)</f>
        <v>2.5058415841733006</v>
      </c>
      <c r="D16" s="6">
        <f>AVERAGE(B5:E5)</f>
        <v>32.842407226562472</v>
      </c>
      <c r="E16" s="6">
        <f>_xlfn.STDEV.S(B5:E5)/D16</f>
        <v>1.5774742849766526E-2</v>
      </c>
      <c r="F16" s="6">
        <v>640.48</v>
      </c>
      <c r="G16" s="6">
        <f>LOG(F16)</f>
        <v>2.8065055727610297</v>
      </c>
      <c r="H16" s="6">
        <f>AVERAGE(F5:I5)</f>
        <v>31.619432449340799</v>
      </c>
      <c r="I16" s="6">
        <f>_xlfn.STDEV.S(F5:I5)/H16</f>
        <v>7.1992065058187156E-3</v>
      </c>
      <c r="J16" s="22"/>
      <c r="K16" s="22" t="s">
        <v>15</v>
      </c>
      <c r="L16" s="22">
        <v>-3.25</v>
      </c>
      <c r="M16" s="22">
        <v>40.700000000000003</v>
      </c>
      <c r="N16" s="22"/>
      <c r="O16" s="22"/>
      <c r="P16" s="22"/>
    </row>
    <row r="17" spans="1:16" x14ac:dyDescent="0.2">
      <c r="A17" s="22"/>
      <c r="B17" s="26"/>
      <c r="C17" s="22"/>
      <c r="D17" s="22"/>
      <c r="E17" s="22"/>
      <c r="F17" s="27"/>
      <c r="G17" s="22"/>
      <c r="H17" s="22"/>
      <c r="I17" s="22"/>
      <c r="J17" s="22"/>
      <c r="K17" s="22" t="s">
        <v>16</v>
      </c>
      <c r="L17" s="22">
        <v>-2.85</v>
      </c>
      <c r="M17" s="22">
        <v>40.4</v>
      </c>
      <c r="N17" s="22"/>
      <c r="O17" s="22"/>
      <c r="P17" s="22"/>
    </row>
    <row r="18" spans="1:16" x14ac:dyDescent="0.2">
      <c r="A18" s="22"/>
      <c r="B18" s="2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ht="24" x14ac:dyDescent="0.2">
      <c r="A21" s="6" t="s">
        <v>17</v>
      </c>
      <c r="B21" s="6" t="s">
        <v>10</v>
      </c>
      <c r="C21" s="6" t="s">
        <v>10</v>
      </c>
      <c r="D21" s="6" t="s">
        <v>10</v>
      </c>
      <c r="E21" s="6" t="s">
        <v>10</v>
      </c>
      <c r="F21" s="6" t="s">
        <v>18</v>
      </c>
      <c r="G21" s="6" t="s">
        <v>19</v>
      </c>
      <c r="H21" s="6" t="s">
        <v>10</v>
      </c>
      <c r="I21" s="6" t="s">
        <v>10</v>
      </c>
      <c r="J21" s="6" t="s">
        <v>10</v>
      </c>
      <c r="K21" s="6" t="s">
        <v>10</v>
      </c>
      <c r="L21" s="6" t="s">
        <v>18</v>
      </c>
      <c r="M21" s="6" t="s">
        <v>19</v>
      </c>
      <c r="N21" s="6" t="s">
        <v>20</v>
      </c>
      <c r="O21" s="6" t="s">
        <v>21</v>
      </c>
      <c r="P21" s="22"/>
    </row>
    <row r="22" spans="1:16" x14ac:dyDescent="0.2">
      <c r="A22" s="7" t="s">
        <v>22</v>
      </c>
      <c r="B22" s="6">
        <f t="shared" ref="B22:E25" si="0">10^((B6-$M$17)/$L$17)</f>
        <v>50949.799412152744</v>
      </c>
      <c r="C22" s="6">
        <f t="shared" si="0"/>
        <v>53519.099649968652</v>
      </c>
      <c r="D22" s="6">
        <f t="shared" si="0"/>
        <v>52102.100609098939</v>
      </c>
      <c r="E22" s="6">
        <f t="shared" si="0"/>
        <v>51668.74638038587</v>
      </c>
      <c r="F22" s="6">
        <f>AVERAGE(B22:E22)</f>
        <v>52059.93651290155</v>
      </c>
      <c r="G22" s="8">
        <f>_xlfn.STDEV.S(B22:E22)/F22</f>
        <v>2.0796150811014168E-2</v>
      </c>
      <c r="H22" s="6">
        <f t="shared" ref="H22:K25" si="1">10^((F6-$M$16)/$L$16)</f>
        <v>3397.5774314157206</v>
      </c>
      <c r="I22" s="6">
        <f t="shared" si="1"/>
        <v>4284.362152245666</v>
      </c>
      <c r="J22" s="6">
        <f t="shared" si="1"/>
        <v>3575.3218908173312</v>
      </c>
      <c r="K22" s="6">
        <f t="shared" si="1"/>
        <v>3583.1670986228146</v>
      </c>
      <c r="L22" s="6">
        <f>AVERAGE(H22:K22)</f>
        <v>3710.1071432753829</v>
      </c>
      <c r="M22" s="6">
        <f>_xlfn.STDEV.S(H22:K22) / L22</f>
        <v>0.10574123275434695</v>
      </c>
      <c r="N22" s="6">
        <f>F22/L22</f>
        <v>14.031922664891459</v>
      </c>
      <c r="O22" s="10">
        <f>SQRT(G22^2+M22^2) * N22</f>
        <v>1.5121757296568166</v>
      </c>
      <c r="P22" s="22"/>
    </row>
    <row r="23" spans="1:16" x14ac:dyDescent="0.2">
      <c r="A23" s="7" t="s">
        <v>23</v>
      </c>
      <c r="B23" s="6">
        <f t="shared" si="0"/>
        <v>118211.59523977284</v>
      </c>
      <c r="C23" s="6">
        <f t="shared" si="0"/>
        <v>114037.21148330507</v>
      </c>
      <c r="D23" s="6">
        <f t="shared" si="0"/>
        <v>111313.57748419509</v>
      </c>
      <c r="E23" s="6">
        <f t="shared" si="0"/>
        <v>102647.21840593575</v>
      </c>
      <c r="F23" s="6">
        <f>AVERAGE(B23:E23)</f>
        <v>111552.40065330219</v>
      </c>
      <c r="G23" s="8">
        <f>_xlfn.STDEV.S(B23:E23)/F23</f>
        <v>5.8983294309221869E-2</v>
      </c>
      <c r="H23" s="6">
        <f t="shared" si="1"/>
        <v>8881.1833197588494</v>
      </c>
      <c r="I23" s="6">
        <f t="shared" si="1"/>
        <v>10605.502254210654</v>
      </c>
      <c r="J23" s="6">
        <f t="shared" si="1"/>
        <v>10160.537702362555</v>
      </c>
      <c r="K23" s="6">
        <f t="shared" si="1"/>
        <v>7525.3316432752317</v>
      </c>
      <c r="L23" s="6">
        <f>AVERAGE(H23:K23)</f>
        <v>9293.1387299018224</v>
      </c>
      <c r="M23" s="6">
        <f>_xlfn.STDEV.S(H23:K23) / L23</f>
        <v>0.14922689432167022</v>
      </c>
      <c r="N23" s="6">
        <f>F23/L23</f>
        <v>12.003737800057644</v>
      </c>
      <c r="O23" s="10">
        <f>SQRT(G23^2+M23^2) * N23</f>
        <v>1.926130367569969</v>
      </c>
      <c r="P23" s="22"/>
    </row>
    <row r="24" spans="1:16" x14ac:dyDescent="0.2">
      <c r="A24" s="7" t="s">
        <v>24</v>
      </c>
      <c r="B24" s="6">
        <f t="shared" si="0"/>
        <v>61998.93527465791</v>
      </c>
      <c r="C24" s="6">
        <f t="shared" si="0"/>
        <v>61267.435927751707</v>
      </c>
      <c r="D24" s="6">
        <f t="shared" si="0"/>
        <v>64717.545698409092</v>
      </c>
      <c r="E24" s="6">
        <f t="shared" si="0"/>
        <v>51199.453351571348</v>
      </c>
      <c r="F24" s="6">
        <f>AVERAGE(B24:E24)</f>
        <v>59795.842563097511</v>
      </c>
      <c r="G24" s="8">
        <f>_xlfn.STDEV.S(B24:E24)/F24</f>
        <v>9.9004044022949572E-2</v>
      </c>
      <c r="H24" s="6">
        <f t="shared" si="1"/>
        <v>6136.6334140496374</v>
      </c>
      <c r="I24" s="6">
        <f t="shared" si="1"/>
        <v>6037.3613195702073</v>
      </c>
      <c r="J24" s="6">
        <f t="shared" si="1"/>
        <v>5547.6229776360515</v>
      </c>
      <c r="K24" s="6">
        <f t="shared" si="1"/>
        <v>2595.8524093103747</v>
      </c>
      <c r="L24" s="6">
        <f>AVERAGE(H24:K24)</f>
        <v>5079.3675301415678</v>
      </c>
      <c r="M24" s="6">
        <f>_xlfn.STDEV.S(H24:K24) / L24</f>
        <v>0.32987904157136805</v>
      </c>
      <c r="N24" s="6">
        <f>F24/L24</f>
        <v>11.772300824514451</v>
      </c>
      <c r="O24" s="10">
        <f>SQRT(G24^2+M24^2) * N24</f>
        <v>4.0545619544976939</v>
      </c>
      <c r="P24" s="22"/>
    </row>
    <row r="25" spans="1:16" x14ac:dyDescent="0.2">
      <c r="A25" s="7" t="s">
        <v>25</v>
      </c>
      <c r="B25" s="6">
        <f t="shared" si="0"/>
        <v>163500.63651558175</v>
      </c>
      <c r="C25" s="6">
        <f t="shared" si="0"/>
        <v>128983.0553335305</v>
      </c>
      <c r="D25" s="6">
        <f t="shared" si="0"/>
        <v>151742.50060036898</v>
      </c>
      <c r="E25" s="6">
        <f t="shared" si="0"/>
        <v>99903.303186378063</v>
      </c>
      <c r="F25" s="6">
        <f>AVERAGE(B25:E25)</f>
        <v>136032.37390896483</v>
      </c>
      <c r="G25" s="8">
        <f>_xlfn.STDEV.S(B25:D25)/F25</f>
        <v>0.12900274333315412</v>
      </c>
      <c r="H25" s="6">
        <f t="shared" si="1"/>
        <v>8728.7679188135317</v>
      </c>
      <c r="I25" s="6">
        <f t="shared" si="1"/>
        <v>9582.8301035663735</v>
      </c>
      <c r="J25" s="6">
        <f t="shared" si="1"/>
        <v>12499.309826949364</v>
      </c>
      <c r="K25" s="6">
        <f t="shared" si="1"/>
        <v>5672.7076283160413</v>
      </c>
      <c r="L25" s="6">
        <f>AVERAGE(H25:K25)</f>
        <v>9120.9038694113278</v>
      </c>
      <c r="M25" s="6">
        <f>_xlfn.STDEV.S(H25:K25) / L25</f>
        <v>0.30796987921837049</v>
      </c>
      <c r="N25" s="6">
        <f>F25/L25</f>
        <v>14.914352333563679</v>
      </c>
      <c r="O25" s="10">
        <f>SQRT(G25^2+M25^2) * N25</f>
        <v>4.9798563327124237</v>
      </c>
      <c r="P25" s="22"/>
    </row>
    <row r="26" spans="1:16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9" spans="1:16" ht="24" x14ac:dyDescent="0.2">
      <c r="H29" s="11" t="s">
        <v>26</v>
      </c>
    </row>
    <row r="30" spans="1:16" x14ac:dyDescent="0.2">
      <c r="H30" s="2" t="s">
        <v>27</v>
      </c>
      <c r="I30" s="2">
        <v>0.05</v>
      </c>
    </row>
    <row r="31" spans="1:16" x14ac:dyDescent="0.2">
      <c r="B31" s="2">
        <f t="shared" ref="B31:E34" si="2">B22 / H22</f>
        <v>14.995920016728716</v>
      </c>
      <c r="C31" s="2">
        <f t="shared" si="2"/>
        <v>12.491731032101569</v>
      </c>
      <c r="D31" s="2">
        <f t="shared" si="2"/>
        <v>14.572702039196873</v>
      </c>
      <c r="E31" s="2">
        <f t="shared" si="2"/>
        <v>14.419853989015662</v>
      </c>
    </row>
    <row r="32" spans="1:16" x14ac:dyDescent="0.2">
      <c r="B32" s="2">
        <f t="shared" si="2"/>
        <v>13.31034288829235</v>
      </c>
      <c r="C32" s="2">
        <f t="shared" si="2"/>
        <v>10.752646008634754</v>
      </c>
      <c r="D32" s="2">
        <f t="shared" si="2"/>
        <v>10.955480974034687</v>
      </c>
      <c r="E32" s="2">
        <f t="shared" si="2"/>
        <v>13.6402252115577</v>
      </c>
      <c r="H32" s="21" t="s">
        <v>28</v>
      </c>
      <c r="I32" s="21" t="s">
        <v>29</v>
      </c>
      <c r="J32" s="21" t="s">
        <v>30</v>
      </c>
      <c r="K32" s="21" t="s">
        <v>18</v>
      </c>
      <c r="L32" s="21" t="s">
        <v>31</v>
      </c>
    </row>
    <row r="33" spans="1:14" x14ac:dyDescent="0.2">
      <c r="A33" s="14"/>
      <c r="B33" s="2">
        <f t="shared" si="2"/>
        <v>10.103086023146375</v>
      </c>
      <c r="C33" s="2">
        <f t="shared" si="2"/>
        <v>10.14804857366285</v>
      </c>
      <c r="D33" s="2">
        <f t="shared" si="2"/>
        <v>11.66581542388565</v>
      </c>
      <c r="E33" s="2">
        <f t="shared" si="2"/>
        <v>19.723561003675556</v>
      </c>
      <c r="H33" s="2" t="s">
        <v>32</v>
      </c>
      <c r="I33" s="2">
        <f>COUNT('b-LH'!$B$31:$E$31)</f>
        <v>4</v>
      </c>
      <c r="J33" s="2">
        <f>SUM('b-LH'!$B$31:$E$31)</f>
        <v>56.48020707704282</v>
      </c>
      <c r="K33" s="2">
        <f>AVERAGE('b-LH'!$B$31:$E$31)</f>
        <v>14.120051769260705</v>
      </c>
      <c r="L33" s="2">
        <f>VAR('b-LH'!$B$31:$E$31)</f>
        <v>1.2377824159428141</v>
      </c>
      <c r="M33" s="2">
        <f>AVERAGE(L33:L36)</f>
        <v>8.7073092314588045</v>
      </c>
    </row>
    <row r="34" spans="1:14" x14ac:dyDescent="0.2">
      <c r="B34" s="2">
        <f t="shared" si="2"/>
        <v>18.731238822741638</v>
      </c>
      <c r="C34" s="2">
        <f t="shared" si="2"/>
        <v>13.459808213184099</v>
      </c>
      <c r="D34" s="2">
        <f t="shared" si="2"/>
        <v>12.140070347980478</v>
      </c>
      <c r="E34" s="2">
        <f t="shared" si="2"/>
        <v>17.611220202447598</v>
      </c>
      <c r="H34" s="2" t="s">
        <v>33</v>
      </c>
      <c r="I34" s="2">
        <f>COUNT('b-LH'!$B$32:$E$32)</f>
        <v>4</v>
      </c>
      <c r="J34" s="2">
        <f>SUM('b-LH'!$B$32:$E$32)</f>
        <v>48.658695082519486</v>
      </c>
      <c r="K34" s="2">
        <f>AVERAGE('b-LH'!$B$32:$E$32)</f>
        <v>12.164673770629872</v>
      </c>
      <c r="L34" s="2">
        <f>VAR('b-LH'!$B$32:$E$32)</f>
        <v>2.3152598006574863</v>
      </c>
    </row>
    <row r="35" spans="1:14" x14ac:dyDescent="0.2">
      <c r="C35" s="4"/>
      <c r="H35" s="2" t="s">
        <v>34</v>
      </c>
      <c r="I35" s="2">
        <f>COUNT('b-LH'!$B$33:$E$33)</f>
        <v>4</v>
      </c>
      <c r="J35" s="2">
        <f>SUM('b-LH'!$B$33:$E$33)</f>
        <v>51.640511024370426</v>
      </c>
      <c r="K35" s="2">
        <f>AVERAGE('b-LH'!$B$33:$E$33)</f>
        <v>12.910127756092606</v>
      </c>
      <c r="L35" s="2">
        <f>VAR('b-LH'!$B$33:$E$33)</f>
        <v>21.159916833288246</v>
      </c>
    </row>
    <row r="36" spans="1:14" x14ac:dyDescent="0.2">
      <c r="H36" s="22" t="s">
        <v>35</v>
      </c>
      <c r="I36" s="22">
        <f>COUNT('b-LH'!$B$34:$E$34)</f>
        <v>4</v>
      </c>
      <c r="J36" s="22">
        <f>SUM('b-LH'!$B$34:$E$34)</f>
        <v>61.942337586353808</v>
      </c>
      <c r="K36" s="22">
        <f>AVERAGE('b-LH'!$B$34:$E$34)</f>
        <v>15.485584396588452</v>
      </c>
      <c r="L36" s="22">
        <f>VAR('b-LH'!$B$34:$E$34)</f>
        <v>10.11627787594667</v>
      </c>
    </row>
    <row r="37" spans="1:14" x14ac:dyDescent="0.2">
      <c r="A37" s="16"/>
    </row>
    <row r="38" spans="1:14" ht="24" x14ac:dyDescent="0.2">
      <c r="A38" s="16"/>
      <c r="H38" s="2" t="s">
        <v>36</v>
      </c>
      <c r="I38" s="2" t="s">
        <v>37</v>
      </c>
      <c r="J38" s="2" t="s">
        <v>38</v>
      </c>
      <c r="K38" s="2" t="s">
        <v>39</v>
      </c>
      <c r="L38" s="2" t="s">
        <v>5</v>
      </c>
      <c r="M38" s="2" t="s">
        <v>40</v>
      </c>
      <c r="N38" s="2" t="s">
        <v>41</v>
      </c>
    </row>
    <row r="39" spans="1:14" ht="24" x14ac:dyDescent="0.2">
      <c r="A39" s="16"/>
      <c r="H39" s="2" t="s">
        <v>42</v>
      </c>
      <c r="I39" s="2">
        <f>SUMPRODUCT('b-LH'!$J$33:$J$36,'b-LH'!$K$33:$K$36)-SUM('b-LH'!$J$33:$J$36)^2/SUM('b-LH'!$I$33:$I$36)</f>
        <v>25.369224528588347</v>
      </c>
      <c r="J39" s="2">
        <f>COUNT('b-LH'!$J$33:$J$36)-1</f>
        <v>3</v>
      </c>
      <c r="K39" s="2">
        <f>'b-LH'!$I$39 / 'b-LH'!$J$39</f>
        <v>8.4564081761961152</v>
      </c>
      <c r="L39" s="2">
        <f>'b-LH'!$K$39 / 'b-LH'!$K$40</f>
        <v>0.97118500691853515</v>
      </c>
      <c r="M39" s="24">
        <f>FDIST('b-LH'!$L$39, 'b-LH'!$J$39, 'b-LH'!$J$40)</f>
        <v>0.43828200064401202</v>
      </c>
      <c r="N39" s="2">
        <f>FINV('b-LH'!$I$30, 'b-LH'!$J$39, 'b-LH'!$J$40)</f>
        <v>3.4902948194976045</v>
      </c>
    </row>
    <row r="40" spans="1:14" ht="24" x14ac:dyDescent="0.2">
      <c r="H40" s="21" t="s">
        <v>43</v>
      </c>
      <c r="I40" s="21">
        <f>SUM(DEVSQ('b-LH'!$B$31:$E$31),DEVSQ('b-LH'!$B$32:$E$32),DEVSQ('b-LH'!$B$33:$E$33),DEVSQ('b-LH'!$B$34:$E$34))</f>
        <v>104.4877107775053</v>
      </c>
      <c r="J40" s="21">
        <f>SUM('b-LH'!$I$33:$I$36)-COUNT('b-LH'!$I$33:$I$36)</f>
        <v>12</v>
      </c>
      <c r="K40" s="21">
        <f>'b-LH'!$I$40 / 'b-LH'!$J$40</f>
        <v>8.7073092314587743</v>
      </c>
      <c r="L40" s="21"/>
      <c r="M40" s="21"/>
      <c r="N40" s="21"/>
    </row>
    <row r="41" spans="1:14" x14ac:dyDescent="0.2">
      <c r="H41" s="2" t="s">
        <v>44</v>
      </c>
      <c r="I41" s="2">
        <f>DEVSQ('b-LH'!$B$31:$E$31,'b-LH'!$B$32:$E$32,'b-LH'!$B$33:$E$33,'b-LH'!$B$34:$E$34)</f>
        <v>129.85693530609328</v>
      </c>
      <c r="J41" s="2">
        <f>SUM('b-LH'!$I$33:$I$36) - 1</f>
        <v>15</v>
      </c>
    </row>
    <row r="44" spans="1:14" x14ac:dyDescent="0.2">
      <c r="H44" s="22"/>
      <c r="I44" s="22"/>
      <c r="J44" s="22"/>
      <c r="K44" s="22"/>
      <c r="L44" s="22"/>
      <c r="M44" s="22"/>
      <c r="N44" s="22"/>
    </row>
    <row r="49" spans="1:10" x14ac:dyDescent="0.2">
      <c r="B49" s="5"/>
    </row>
    <row r="50" spans="1:10" x14ac:dyDescent="0.2">
      <c r="A50" s="16"/>
      <c r="B50" s="5"/>
    </row>
    <row r="51" spans="1:10" x14ac:dyDescent="0.2">
      <c r="A51" s="16"/>
      <c r="B51" s="5"/>
    </row>
    <row r="52" spans="1:10" x14ac:dyDescent="0.2">
      <c r="A52" s="16"/>
      <c r="B52" s="5"/>
    </row>
    <row r="53" spans="1:10" x14ac:dyDescent="0.2">
      <c r="B53" s="5"/>
    </row>
    <row r="54" spans="1:10" x14ac:dyDescent="0.2">
      <c r="B54" s="5"/>
      <c r="I54" s="12"/>
    </row>
    <row r="55" spans="1:10" x14ac:dyDescent="0.2">
      <c r="B55" s="5"/>
    </row>
    <row r="57" spans="1:10" x14ac:dyDescent="0.2">
      <c r="J57" s="25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7"/>
  <sheetViews>
    <sheetView topLeftCell="A10" zoomScale="110" zoomScaleNormal="110" workbookViewId="0">
      <selection activeCell="I47" sqref="I47"/>
    </sheetView>
  </sheetViews>
  <sheetFormatPr defaultColWidth="11.5703125" defaultRowHeight="12.75" x14ac:dyDescent="0.2"/>
  <cols>
    <col min="1" max="1024" width="11.5703125" style="2"/>
  </cols>
  <sheetData>
    <row r="1" spans="1:13" x14ac:dyDescent="0.2">
      <c r="A1" s="6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22"/>
    </row>
    <row r="2" spans="1:13" x14ac:dyDescent="0.2">
      <c r="A2" s="6" t="s">
        <v>0</v>
      </c>
      <c r="B2" s="6">
        <v>23.603324890136701</v>
      </c>
      <c r="C2" s="6">
        <v>23.463891983032202</v>
      </c>
      <c r="D2" s="6">
        <v>23.657802581787099</v>
      </c>
      <c r="E2" s="6"/>
      <c r="F2" s="6">
        <v>17.8476467132568</v>
      </c>
      <c r="G2" s="6">
        <v>17.889284133911101</v>
      </c>
      <c r="H2" s="6">
        <v>17.895570755004901</v>
      </c>
      <c r="I2" s="22"/>
    </row>
    <row r="3" spans="1:13" x14ac:dyDescent="0.2">
      <c r="A3" s="6" t="s">
        <v>1</v>
      </c>
      <c r="B3" s="6">
        <v>25.9059944152832</v>
      </c>
      <c r="C3" s="6">
        <v>25.8816318511963</v>
      </c>
      <c r="D3" s="6">
        <v>25.6109619140625</v>
      </c>
      <c r="E3" s="6"/>
      <c r="F3" s="6">
        <v>19.875329971313501</v>
      </c>
      <c r="G3" s="6">
        <v>19.9114170074463</v>
      </c>
      <c r="H3" s="6">
        <v>19.627161026001001</v>
      </c>
      <c r="I3" s="22"/>
    </row>
    <row r="4" spans="1:13" x14ac:dyDescent="0.2">
      <c r="A4" s="6" t="s">
        <v>2</v>
      </c>
      <c r="B4" s="6">
        <v>27.797798156738299</v>
      </c>
      <c r="C4" s="6">
        <v>27.914253234863299</v>
      </c>
      <c r="D4" s="6">
        <v>27.925247192382798</v>
      </c>
      <c r="E4" s="6"/>
      <c r="F4" s="6">
        <v>22.394775390625</v>
      </c>
      <c r="G4" s="6">
        <v>22.447797775268601</v>
      </c>
      <c r="H4" s="6">
        <v>21.524337768554702</v>
      </c>
      <c r="I4" s="22"/>
    </row>
    <row r="5" spans="1:13" x14ac:dyDescent="0.2">
      <c r="A5" s="6" t="s">
        <v>3</v>
      </c>
      <c r="B5" s="6">
        <v>30.061346054077099</v>
      </c>
      <c r="C5" s="6">
        <v>29.934028625488299</v>
      </c>
      <c r="D5" s="6">
        <v>30.097427368164102</v>
      </c>
      <c r="E5" s="6"/>
      <c r="F5" s="6">
        <v>24.8890476226807</v>
      </c>
      <c r="G5" s="6">
        <v>24.626932144165</v>
      </c>
      <c r="H5" s="6">
        <v>24.384614944458001</v>
      </c>
      <c r="I5" s="22"/>
    </row>
    <row r="6" spans="1:13" x14ac:dyDescent="0.2">
      <c r="A6" s="6" t="s">
        <v>4</v>
      </c>
      <c r="B6" s="6">
        <v>23.090417861938501</v>
      </c>
      <c r="C6" s="6">
        <v>23.014511108398398</v>
      </c>
      <c r="D6" s="6">
        <v>23.005464553833001</v>
      </c>
      <c r="E6" s="6"/>
      <c r="F6" s="6">
        <v>23.686862945556602</v>
      </c>
      <c r="G6" s="6">
        <v>23.916017532348601</v>
      </c>
      <c r="H6" s="6">
        <v>23.500349044799801</v>
      </c>
      <c r="I6" s="22"/>
    </row>
    <row r="7" spans="1:13" x14ac:dyDescent="0.2">
      <c r="A7" s="6" t="s">
        <v>5</v>
      </c>
      <c r="B7" s="6">
        <v>24.213209152221701</v>
      </c>
      <c r="C7" s="6">
        <v>24.030250549316399</v>
      </c>
      <c r="D7" s="6">
        <v>24.225334167480501</v>
      </c>
      <c r="E7" s="6"/>
      <c r="F7" s="6">
        <v>24.881177902221701</v>
      </c>
      <c r="G7" s="6">
        <v>24.742282867431602</v>
      </c>
      <c r="H7" s="6">
        <v>24.3565998077393</v>
      </c>
      <c r="I7" s="22"/>
    </row>
    <row r="8" spans="1:13" x14ac:dyDescent="0.2">
      <c r="A8" s="6" t="s">
        <v>7</v>
      </c>
      <c r="B8" s="6">
        <v>24.044206619262699</v>
      </c>
      <c r="C8" s="6">
        <v>24.036161422729499</v>
      </c>
      <c r="D8" s="6">
        <v>24.070482254028299</v>
      </c>
      <c r="E8" s="6"/>
      <c r="F8" s="6">
        <v>25.132373809814499</v>
      </c>
      <c r="G8" s="6">
        <v>24.753543853759801</v>
      </c>
      <c r="H8" s="6">
        <v>24.653816223144499</v>
      </c>
      <c r="I8" s="22"/>
    </row>
    <row r="9" spans="1:13" x14ac:dyDescent="0.2">
      <c r="A9" s="6" t="s">
        <v>8</v>
      </c>
      <c r="B9" s="6">
        <v>21.973167419433601</v>
      </c>
      <c r="C9" s="6">
        <v>22.3025722503662</v>
      </c>
      <c r="D9" s="6">
        <v>22.570554733276399</v>
      </c>
      <c r="E9" s="6"/>
      <c r="F9" s="6">
        <v>22.996631622314499</v>
      </c>
      <c r="G9" s="6">
        <v>22.260190963745099</v>
      </c>
      <c r="H9" s="6">
        <v>22.949016571044901</v>
      </c>
      <c r="I9" s="22"/>
    </row>
    <row r="10" spans="1:13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13" x14ac:dyDescent="0.2">
      <c r="A11" s="22"/>
      <c r="B11" s="22"/>
      <c r="C11" s="22"/>
      <c r="D11" s="22"/>
      <c r="E11" s="22"/>
      <c r="F11" s="22"/>
      <c r="G11" s="22"/>
      <c r="H11" s="22"/>
      <c r="I11" s="22"/>
    </row>
    <row r="12" spans="1:13" x14ac:dyDescent="0.2">
      <c r="A12" s="22"/>
      <c r="B12" s="6" t="s">
        <v>9</v>
      </c>
      <c r="C12" s="6" t="s">
        <v>10</v>
      </c>
      <c r="D12" s="6" t="s">
        <v>11</v>
      </c>
      <c r="E12" s="6" t="s">
        <v>12</v>
      </c>
      <c r="F12" s="6" t="s">
        <v>9</v>
      </c>
      <c r="G12" s="6" t="s">
        <v>10</v>
      </c>
      <c r="H12" s="6" t="s">
        <v>13</v>
      </c>
      <c r="I12" s="6" t="s">
        <v>14</v>
      </c>
    </row>
    <row r="13" spans="1:13" x14ac:dyDescent="0.2">
      <c r="A13" s="22"/>
      <c r="B13" s="6">
        <v>8012.75</v>
      </c>
      <c r="C13" s="6">
        <f>LOG(B13)</f>
        <v>3.9037815928453381</v>
      </c>
      <c r="D13" s="6">
        <f>AVERAGE(B2:D2)</f>
        <v>23.575006484985334</v>
      </c>
      <c r="E13" s="6">
        <f>_xlfn.STDEV.S(B2:E2)/D13</f>
        <v>4.242157698603765E-3</v>
      </c>
      <c r="F13" s="6">
        <v>80060.210000000006</v>
      </c>
      <c r="G13" s="6">
        <f>LOG(F13)</f>
        <v>4.903416724936231</v>
      </c>
      <c r="H13" s="6">
        <f>AVERAGE(F2:H2)</f>
        <v>17.877500534057599</v>
      </c>
      <c r="I13" s="6">
        <f>_xlfn.STDEV.S(B6:E6)/H13</f>
        <v>2.6097653829156202E-3</v>
      </c>
    </row>
    <row r="14" spans="1:13" x14ac:dyDescent="0.2">
      <c r="A14" s="22"/>
      <c r="B14" s="6">
        <v>1602.55</v>
      </c>
      <c r="C14" s="6">
        <f>LOG(B14)</f>
        <v>3.2048115885093194</v>
      </c>
      <c r="D14" s="6">
        <f>AVERAGE(B3:D3)</f>
        <v>25.799529393513996</v>
      </c>
      <c r="E14" s="6">
        <f>_xlfn.STDEV.S(B3:E3)/D14</f>
        <v>6.347321743516432E-3</v>
      </c>
      <c r="F14" s="6">
        <v>16012.04</v>
      </c>
      <c r="G14" s="6">
        <f>LOG(F14)</f>
        <v>4.204446666354225</v>
      </c>
      <c r="H14" s="6">
        <f>AVERAGE(F3:H3)</f>
        <v>19.804636001586932</v>
      </c>
      <c r="I14" s="6">
        <f>_xlfn.STDEV.S(B7:E7)/H14</f>
        <v>5.5188922768057572E-3</v>
      </c>
    </row>
    <row r="15" spans="1:13" x14ac:dyDescent="0.2">
      <c r="A15" s="22"/>
      <c r="B15" s="6">
        <v>320.51</v>
      </c>
      <c r="C15" s="6">
        <f>LOG(B15)</f>
        <v>2.5058415841733006</v>
      </c>
      <c r="D15" s="6">
        <f>AVERAGE(B4:D4)</f>
        <v>27.8790995279948</v>
      </c>
      <c r="E15" s="6">
        <f>_xlfn.STDEV.S(B4:E4)/D15</f>
        <v>2.5331990009199385E-3</v>
      </c>
      <c r="F15" s="6">
        <v>3202.41</v>
      </c>
      <c r="G15" s="6">
        <f>LOG(F15)</f>
        <v>3.5054769332480724</v>
      </c>
      <c r="H15" s="6">
        <f>AVERAGE(F4:H4)</f>
        <v>22.1223036448161</v>
      </c>
      <c r="I15" s="6">
        <f>_xlfn.STDEV.S(B8:E8)/H15</f>
        <v>8.1136445422438604E-4</v>
      </c>
    </row>
    <row r="16" spans="1:13" x14ac:dyDescent="0.2">
      <c r="A16" s="22"/>
      <c r="B16" s="6">
        <v>64.099999999999994</v>
      </c>
      <c r="C16" s="6">
        <f>LOG(B16)</f>
        <v>1.8068580295188175</v>
      </c>
      <c r="D16" s="6">
        <f>AVERAGE(B5:D5)</f>
        <v>30.030934015909835</v>
      </c>
      <c r="E16" s="6">
        <f>_xlfn.STDEV.S(B5:E5)/D16</f>
        <v>2.8583763976187623E-3</v>
      </c>
      <c r="F16" s="6">
        <v>640.48</v>
      </c>
      <c r="G16" s="6">
        <f>LOG(F16)</f>
        <v>2.8065055727610297</v>
      </c>
      <c r="H16" s="6">
        <f>AVERAGE(F5:H5)</f>
        <v>24.63353157043457</v>
      </c>
      <c r="I16" s="6">
        <f>_xlfn.STDEV.S(B9:E9)/H16</f>
        <v>1.2146836181295119E-2</v>
      </c>
      <c r="K16" s="2" t="s">
        <v>15</v>
      </c>
      <c r="L16" s="2">
        <v>-3.23</v>
      </c>
      <c r="M16" s="2">
        <v>33.6</v>
      </c>
    </row>
    <row r="17" spans="1:15" x14ac:dyDescent="0.2">
      <c r="A17" s="22"/>
      <c r="B17" s="26"/>
      <c r="C17" s="22"/>
      <c r="D17" s="22"/>
      <c r="E17" s="22"/>
      <c r="F17" s="27"/>
      <c r="G17" s="22"/>
      <c r="H17" s="22"/>
      <c r="I17" s="22"/>
      <c r="K17" s="2" t="s">
        <v>16</v>
      </c>
      <c r="L17" s="2">
        <v>-3.07</v>
      </c>
      <c r="M17" s="2">
        <v>35.6</v>
      </c>
    </row>
    <row r="18" spans="1:15" x14ac:dyDescent="0.2">
      <c r="B18" s="5"/>
    </row>
    <row r="19" spans="1:1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24" x14ac:dyDescent="0.2">
      <c r="A21" s="6" t="s">
        <v>17</v>
      </c>
      <c r="B21" s="6" t="s">
        <v>10</v>
      </c>
      <c r="C21" s="6" t="s">
        <v>10</v>
      </c>
      <c r="D21" s="6" t="s">
        <v>10</v>
      </c>
      <c r="E21" s="6" t="s">
        <v>10</v>
      </c>
      <c r="F21" s="6" t="s">
        <v>18</v>
      </c>
      <c r="G21" s="6" t="s">
        <v>19</v>
      </c>
      <c r="H21" s="6" t="s">
        <v>10</v>
      </c>
      <c r="I21" s="6" t="s">
        <v>10</v>
      </c>
      <c r="J21" s="6" t="s">
        <v>10</v>
      </c>
      <c r="K21" s="6" t="s">
        <v>10</v>
      </c>
      <c r="L21" s="6" t="s">
        <v>18</v>
      </c>
      <c r="M21" s="6" t="s">
        <v>19</v>
      </c>
      <c r="N21" s="6" t="s">
        <v>20</v>
      </c>
      <c r="O21" s="6" t="s">
        <v>21</v>
      </c>
    </row>
    <row r="22" spans="1:15" x14ac:dyDescent="0.2">
      <c r="A22" s="7" t="s">
        <v>22</v>
      </c>
      <c r="B22" s="6">
        <f t="shared" ref="B22:D25" si="0">10^((B6-$M$17)/$L$17)</f>
        <v>11879.07037966992</v>
      </c>
      <c r="C22" s="6">
        <f t="shared" si="0"/>
        <v>12574.993877542987</v>
      </c>
      <c r="D22" s="6">
        <f t="shared" si="0"/>
        <v>12660.607429560821</v>
      </c>
      <c r="E22" s="6"/>
      <c r="F22" s="6">
        <f>AVERAGE(B22:E22)</f>
        <v>12371.557228924576</v>
      </c>
      <c r="G22" s="8">
        <f>_xlfn.STDEV.S(B22:E22)/F22</f>
        <v>3.4647935370575964E-2</v>
      </c>
      <c r="H22" s="6">
        <f t="shared" ref="H22:J25" si="1">10^((F6-$M$16)/$L$16)</f>
        <v>1172.41854505576</v>
      </c>
      <c r="I22" s="6">
        <f t="shared" si="1"/>
        <v>995.71944160131659</v>
      </c>
      <c r="J22" s="6">
        <f t="shared" si="1"/>
        <v>1339.14289397416</v>
      </c>
      <c r="K22" s="6"/>
      <c r="L22" s="6">
        <f>AVERAGE(H22:K22)</f>
        <v>1169.0936268770788</v>
      </c>
      <c r="M22" s="6">
        <f>_xlfn.STDEV.S(H22:K22) / L22</f>
        <v>0.1468965903607948</v>
      </c>
      <c r="N22" s="6">
        <f>F22/L22</f>
        <v>10.582178317036835</v>
      </c>
      <c r="O22" s="10">
        <f>SQRT(G22^2+M22^2) * N22</f>
        <v>1.5971409266629923</v>
      </c>
    </row>
    <row r="23" spans="1:15" x14ac:dyDescent="0.2">
      <c r="A23" s="7" t="s">
        <v>23</v>
      </c>
      <c r="B23" s="6">
        <f t="shared" si="0"/>
        <v>5117.4356871005693</v>
      </c>
      <c r="C23" s="6">
        <f t="shared" si="0"/>
        <v>5870.1341940477305</v>
      </c>
      <c r="D23" s="6">
        <f t="shared" si="0"/>
        <v>5071.1082005319486</v>
      </c>
      <c r="E23" s="6"/>
      <c r="F23" s="6">
        <f>AVERAGE(B23:E23)</f>
        <v>5352.8926938934164</v>
      </c>
      <c r="G23" s="8">
        <f>_xlfn.STDEV.S(B23:E23)/F23</f>
        <v>8.3794467308254766E-2</v>
      </c>
      <c r="H23" s="6">
        <f t="shared" si="1"/>
        <v>500.40970846717408</v>
      </c>
      <c r="I23" s="6">
        <f t="shared" si="1"/>
        <v>552.49364330240132</v>
      </c>
      <c r="J23" s="6">
        <f t="shared" si="1"/>
        <v>727.33385940636947</v>
      </c>
      <c r="K23" s="6"/>
      <c r="L23" s="6">
        <f>AVERAGE(H23:K23)</f>
        <v>593.41240372531502</v>
      </c>
      <c r="M23" s="6">
        <f>_xlfn.STDEV.S(H23:K23) / L23</f>
        <v>0.20031121257338957</v>
      </c>
      <c r="N23" s="6">
        <f>F23/L23</f>
        <v>9.0205271414771779</v>
      </c>
      <c r="O23" s="10">
        <f>SQRT(G23^2+M23^2) * N23</f>
        <v>1.9586407207527043</v>
      </c>
    </row>
    <row r="24" spans="1:15" x14ac:dyDescent="0.2">
      <c r="A24" s="7" t="s">
        <v>24</v>
      </c>
      <c r="B24" s="6">
        <f t="shared" si="0"/>
        <v>5809.0093889559812</v>
      </c>
      <c r="C24" s="6">
        <f t="shared" si="0"/>
        <v>5844.1676187931698</v>
      </c>
      <c r="D24" s="6">
        <f t="shared" si="0"/>
        <v>5695.6492898814295</v>
      </c>
      <c r="E24" s="6"/>
      <c r="F24" s="6">
        <f>AVERAGE(B24:D24)</f>
        <v>5782.9420992101941</v>
      </c>
      <c r="G24" s="8">
        <f>_xlfn.STDEV.S(B24:E24)/F24</f>
        <v>1.3421327788178897E-2</v>
      </c>
      <c r="H24" s="6">
        <f t="shared" si="1"/>
        <v>418.36572374213648</v>
      </c>
      <c r="I24" s="6">
        <f t="shared" si="1"/>
        <v>548.07616054922539</v>
      </c>
      <c r="J24" s="6">
        <f t="shared" si="1"/>
        <v>588.45917637491141</v>
      </c>
      <c r="K24" s="6"/>
      <c r="L24" s="6">
        <f>AVERAGE(H24:K24)</f>
        <v>518.30035355542441</v>
      </c>
      <c r="M24" s="6">
        <f>_xlfn.STDEV.S(H24:K24) / L24</f>
        <v>0.17146447877313845</v>
      </c>
      <c r="N24" s="6">
        <f>F24/L24</f>
        <v>11.157511391880222</v>
      </c>
      <c r="O24" s="10">
        <f>SQRT(G24^2+M24^2) * N24</f>
        <v>1.9189686883139196</v>
      </c>
    </row>
    <row r="25" spans="1:15" x14ac:dyDescent="0.2">
      <c r="A25" s="7" t="s">
        <v>25</v>
      </c>
      <c r="B25" s="6">
        <f t="shared" si="0"/>
        <v>27460.451968658752</v>
      </c>
      <c r="C25" s="6">
        <f t="shared" si="0"/>
        <v>21449.13044509738</v>
      </c>
      <c r="D25" s="6">
        <f t="shared" si="0"/>
        <v>17543.610610610078</v>
      </c>
      <c r="E25" s="6"/>
      <c r="F25" s="6">
        <f>AVERAGE(B25:E25)</f>
        <v>22151.064341455403</v>
      </c>
      <c r="G25" s="8">
        <f>_xlfn.STDEV.S(B25:E25)/F25</f>
        <v>0.22552166527307949</v>
      </c>
      <c r="H25" s="6">
        <f t="shared" si="1"/>
        <v>1917.6819809363492</v>
      </c>
      <c r="I25" s="6">
        <f t="shared" si="1"/>
        <v>3241.7296363680698</v>
      </c>
      <c r="J25" s="6">
        <f t="shared" si="1"/>
        <v>1983.8922892296969</v>
      </c>
      <c r="K25" s="6"/>
      <c r="L25" s="6">
        <f>AVERAGE(H25:K25)</f>
        <v>2381.1013021780386</v>
      </c>
      <c r="M25" s="6">
        <f>_xlfn.STDEV.S(H25:K25) / L25</f>
        <v>0.31332596126765405</v>
      </c>
      <c r="N25" s="6">
        <f>F25/L25</f>
        <v>9.3028651578970631</v>
      </c>
      <c r="O25" s="10">
        <f>SQRT(G25^2+M25^2) * N25</f>
        <v>3.5913539488900739</v>
      </c>
    </row>
    <row r="26" spans="1:1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9" spans="1:15" ht="24" x14ac:dyDescent="0.2">
      <c r="H29" s="11" t="s">
        <v>26</v>
      </c>
    </row>
    <row r="30" spans="1:15" x14ac:dyDescent="0.2">
      <c r="H30" s="2" t="s">
        <v>27</v>
      </c>
      <c r="I30" s="2">
        <v>0.05</v>
      </c>
    </row>
    <row r="31" spans="1:15" x14ac:dyDescent="0.2">
      <c r="B31" s="2">
        <f t="shared" ref="B31:D34" si="2">B22 / H22</f>
        <v>10.132107198206212</v>
      </c>
      <c r="C31" s="2">
        <f t="shared" si="2"/>
        <v>12.629053277617915</v>
      </c>
      <c r="D31" s="2">
        <f t="shared" si="2"/>
        <v>9.4542617419923527</v>
      </c>
    </row>
    <row r="32" spans="1:15" x14ac:dyDescent="0.2">
      <c r="B32" s="2">
        <f t="shared" si="2"/>
        <v>10.226491613793826</v>
      </c>
      <c r="C32" s="2">
        <f t="shared" si="2"/>
        <v>10.624799516172491</v>
      </c>
      <c r="D32" s="2">
        <f t="shared" si="2"/>
        <v>6.972187716753421</v>
      </c>
      <c r="H32" s="21" t="s">
        <v>28</v>
      </c>
      <c r="I32" s="21" t="s">
        <v>29</v>
      </c>
      <c r="J32" s="21" t="s">
        <v>30</v>
      </c>
      <c r="K32" s="21" t="s">
        <v>18</v>
      </c>
      <c r="L32" s="21" t="s">
        <v>31</v>
      </c>
    </row>
    <row r="33" spans="1:14" x14ac:dyDescent="0.2">
      <c r="A33" s="14"/>
      <c r="B33" s="2">
        <f t="shared" si="2"/>
        <v>13.885003142696309</v>
      </c>
      <c r="C33" s="2">
        <f t="shared" si="2"/>
        <v>10.663057508169572</v>
      </c>
      <c r="D33" s="2">
        <f t="shared" si="2"/>
        <v>9.6789199974216942</v>
      </c>
      <c r="H33" s="2" t="s">
        <v>32</v>
      </c>
      <c r="I33" s="2">
        <f>COUNT('b-TSH'!$B$31:$D$31)</f>
        <v>3</v>
      </c>
      <c r="J33" s="2">
        <f>SUM('b-TSH'!$B$31:$D$31)</f>
        <v>32.215422217816482</v>
      </c>
      <c r="K33" s="2">
        <f>AVERAGE('b-TSH'!$B$31:$D$31)</f>
        <v>10.738474072605493</v>
      </c>
      <c r="L33" s="2">
        <f>VAR('b-TSH'!$B$31:$D$31)</f>
        <v>2.7955859134464731</v>
      </c>
      <c r="M33" s="2">
        <f>AVERAGE(L33:L36)</f>
        <v>6.8413188566490248</v>
      </c>
    </row>
    <row r="34" spans="1:14" x14ac:dyDescent="0.2">
      <c r="B34" s="2">
        <f t="shared" si="2"/>
        <v>14.319606817836709</v>
      </c>
      <c r="C34" s="2">
        <f t="shared" si="2"/>
        <v>6.6165698102844566</v>
      </c>
      <c r="D34" s="2">
        <f t="shared" si="2"/>
        <v>8.8430257559103111</v>
      </c>
      <c r="H34" s="2" t="s">
        <v>33</v>
      </c>
      <c r="I34" s="2">
        <f>COUNT('b-TSH'!$B$32:$D$32)</f>
        <v>3</v>
      </c>
      <c r="J34" s="2">
        <f>SUM('b-TSH'!$B$32:$D$32)</f>
        <v>27.823478846719738</v>
      </c>
      <c r="K34" s="2">
        <f>AVERAGE('b-TSH'!$B$32:$D$32)</f>
        <v>9.2744929489065786</v>
      </c>
      <c r="L34" s="2">
        <f>VAR('b-TSH'!$B$32:$D$32)</f>
        <v>4.0151193327741623</v>
      </c>
    </row>
    <row r="35" spans="1:14" x14ac:dyDescent="0.2">
      <c r="C35" s="4"/>
      <c r="H35" s="2" t="s">
        <v>34</v>
      </c>
      <c r="I35" s="2">
        <f>COUNT('b-TSH'!$B$33:$D$33)</f>
        <v>3</v>
      </c>
      <c r="J35" s="2">
        <f>SUM('b-TSH'!$B$33:$D$33)</f>
        <v>34.226980648287579</v>
      </c>
      <c r="K35" s="2">
        <f>AVERAGE('b-TSH'!$B$33:$D$33)</f>
        <v>11.408993549429193</v>
      </c>
      <c r="L35" s="2">
        <f>VAR('b-TSH'!$B$33:$D$33)</f>
        <v>4.8400992894782746</v>
      </c>
    </row>
    <row r="36" spans="1:14" x14ac:dyDescent="0.2">
      <c r="H36" s="22" t="s">
        <v>35</v>
      </c>
      <c r="I36" s="22">
        <f>COUNT('b-TSH'!$B$34:$D$34)</f>
        <v>3</v>
      </c>
      <c r="J36" s="22">
        <f>SUM('b-TSH'!$B$34:$D$34)</f>
        <v>29.779202384031478</v>
      </c>
      <c r="K36" s="22">
        <f>AVERAGE('b-TSH'!$B$34:$D$34)</f>
        <v>9.9264007946771589</v>
      </c>
      <c r="L36" s="22">
        <f>VAR('b-TSH'!$B$34:$D$34)</f>
        <v>15.714470890897189</v>
      </c>
    </row>
    <row r="37" spans="1:14" x14ac:dyDescent="0.2">
      <c r="A37" s="16"/>
    </row>
    <row r="38" spans="1:14" ht="24" x14ac:dyDescent="0.2">
      <c r="A38" s="16"/>
      <c r="H38" s="2" t="s">
        <v>36</v>
      </c>
      <c r="I38" s="2" t="s">
        <v>37</v>
      </c>
      <c r="J38" s="2" t="s">
        <v>38</v>
      </c>
      <c r="K38" s="2" t="s">
        <v>39</v>
      </c>
      <c r="L38" s="2" t="s">
        <v>5</v>
      </c>
      <c r="M38" s="2" t="s">
        <v>40</v>
      </c>
      <c r="N38" s="2" t="s">
        <v>41</v>
      </c>
    </row>
    <row r="39" spans="1:14" ht="24" x14ac:dyDescent="0.2">
      <c r="A39" s="16"/>
      <c r="H39" s="2" t="s">
        <v>42</v>
      </c>
      <c r="I39" s="2">
        <f>SUMPRODUCT('b-TSH'!$J$33:$J$36,'b-TSH'!$K$33:$K$36)-SUM('b-TSH'!$J$33:$J$36)^2/SUM('b-TSH'!$I$33:$I$36)</f>
        <v>7.8235935281429647</v>
      </c>
      <c r="J39" s="2">
        <f>COUNT('b-TSH'!$J$33:$J$36)-1</f>
        <v>3</v>
      </c>
      <c r="K39" s="2">
        <f>'b-TSH'!$I$39 / 'b-TSH'!$J$39</f>
        <v>2.6078645093809882</v>
      </c>
      <c r="L39" s="2">
        <f>'b-TSH'!$K$39 / 'b-TSH'!$K$40</f>
        <v>0.38119324124856618</v>
      </c>
      <c r="M39" s="24">
        <f>FDIST('b-TSH'!$L$39, 'b-TSH'!$J$39, 'b-TSH'!$J$40)</f>
        <v>0.76943240876582641</v>
      </c>
      <c r="N39" s="2">
        <f>FINV('b-TSH'!$I$30, 'b-TSH'!$J$39, 'b-TSH'!$J$40)</f>
        <v>4.0661805513511613</v>
      </c>
    </row>
    <row r="40" spans="1:14" ht="24" x14ac:dyDescent="0.2">
      <c r="H40" s="21" t="s">
        <v>43</v>
      </c>
      <c r="I40" s="21">
        <f>SUM(DEVSQ('b-TSH'!$B$31:$D$31),DEVSQ('b-TSH'!$B$32:$D$32),DEVSQ('b-TSH'!$B$33:$D$33),DEVSQ('b-TSH'!$B$34:$D$34))</f>
        <v>54.73055085319244</v>
      </c>
      <c r="J40" s="21">
        <f>SUM('b-TSH'!$I$33:$I$36)-COUNT('b-TSH'!$I$33:$I$36)</f>
        <v>8</v>
      </c>
      <c r="K40" s="21">
        <f>'b-TSH'!$I$40 / 'b-TSH'!$J$40</f>
        <v>6.841318856649055</v>
      </c>
      <c r="L40" s="21"/>
      <c r="M40" s="21"/>
      <c r="N40" s="21"/>
    </row>
    <row r="41" spans="1:14" x14ac:dyDescent="0.2">
      <c r="H41" s="2" t="s">
        <v>44</v>
      </c>
      <c r="I41" s="2">
        <f>DEVSQ('b-TSH'!$B$31:$D$31,'b-TSH'!$B$32:$D$32,'b-TSH'!$B$33:$D$33,'b-TSH'!$B$34:$D$34)</f>
        <v>62.554144381335277</v>
      </c>
      <c r="J41" s="2">
        <f>SUM('b-TSH'!$I$33:$I$36) - 1</f>
        <v>11</v>
      </c>
    </row>
    <row r="44" spans="1:14" x14ac:dyDescent="0.2">
      <c r="H44" s="22"/>
      <c r="I44" s="22"/>
      <c r="J44" s="22"/>
      <c r="K44" s="22"/>
      <c r="L44" s="22"/>
      <c r="M44" s="22"/>
      <c r="N44" s="22"/>
    </row>
    <row r="49" spans="1:10" x14ac:dyDescent="0.2">
      <c r="B49" s="5"/>
    </row>
    <row r="50" spans="1:10" x14ac:dyDescent="0.2">
      <c r="A50" s="16"/>
      <c r="B50" s="5"/>
    </row>
    <row r="51" spans="1:10" x14ac:dyDescent="0.2">
      <c r="A51" s="16"/>
      <c r="B51" s="5"/>
    </row>
    <row r="52" spans="1:10" x14ac:dyDescent="0.2">
      <c r="A52" s="16"/>
      <c r="B52" s="5"/>
    </row>
    <row r="53" spans="1:10" x14ac:dyDescent="0.2">
      <c r="B53" s="5"/>
    </row>
    <row r="54" spans="1:10" x14ac:dyDescent="0.2">
      <c r="B54" s="5"/>
      <c r="I54" s="12"/>
    </row>
    <row r="55" spans="1:10" x14ac:dyDescent="0.2">
      <c r="B55" s="5"/>
    </row>
    <row r="57" spans="1:10" x14ac:dyDescent="0.2">
      <c r="J57" s="23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7"/>
  <sheetViews>
    <sheetView tabSelected="1" topLeftCell="A7" zoomScale="110" zoomScaleNormal="110" workbookViewId="0">
      <selection activeCell="M50" sqref="M50"/>
    </sheetView>
  </sheetViews>
  <sheetFormatPr defaultColWidth="11.5703125" defaultRowHeight="12.75" x14ac:dyDescent="0.2"/>
  <cols>
    <col min="1" max="1" width="9.85546875" style="2" customWidth="1"/>
    <col min="2" max="1024" width="11.5703125" style="2"/>
  </cols>
  <sheetData>
    <row r="1" spans="1:13" x14ac:dyDescent="0.2">
      <c r="A1" s="6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</row>
    <row r="2" spans="1:13" x14ac:dyDescent="0.2">
      <c r="A2" s="6" t="s">
        <v>0</v>
      </c>
      <c r="B2" s="6">
        <v>25.366664886474599</v>
      </c>
      <c r="C2" s="6">
        <v>25.192792892456101</v>
      </c>
      <c r="D2" s="6">
        <v>24.676071166992202</v>
      </c>
      <c r="E2" s="6">
        <v>25.705732345581101</v>
      </c>
      <c r="F2" s="6">
        <v>25.7186794281006</v>
      </c>
      <c r="G2" s="6">
        <v>26.002202987670898</v>
      </c>
      <c r="H2" s="6">
        <v>26.071268081665</v>
      </c>
      <c r="I2" s="6">
        <v>25.872552871704102</v>
      </c>
    </row>
    <row r="3" spans="1:13" x14ac:dyDescent="0.2">
      <c r="A3" s="6" t="s">
        <v>1</v>
      </c>
      <c r="B3" s="6">
        <v>27.977329254150401</v>
      </c>
      <c r="C3" s="6">
        <v>27.590745925903299</v>
      </c>
      <c r="D3" s="6">
        <v>27.655380249023398</v>
      </c>
      <c r="E3" s="6">
        <v>27.7758693695068</v>
      </c>
      <c r="F3" s="6">
        <v>25.115505218505898</v>
      </c>
      <c r="G3" s="6">
        <v>25.248462677001999</v>
      </c>
      <c r="H3" s="6">
        <v>25.447393417358398</v>
      </c>
      <c r="I3" s="6">
        <v>25.4815769195557</v>
      </c>
    </row>
    <row r="4" spans="1:13" x14ac:dyDescent="0.2">
      <c r="A4" s="6" t="s">
        <v>2</v>
      </c>
      <c r="B4" s="6">
        <v>29.031772613525401</v>
      </c>
      <c r="C4" s="6">
        <v>29.259086608886701</v>
      </c>
      <c r="D4" s="6">
        <v>28.955762863159201</v>
      </c>
      <c r="E4" s="6">
        <v>28.8823356628418</v>
      </c>
      <c r="F4" s="6">
        <v>24.737127304077099</v>
      </c>
      <c r="G4" s="6">
        <v>25.029151916503899</v>
      </c>
      <c r="H4" s="6">
        <v>25.3440551757812</v>
      </c>
      <c r="I4" s="6">
        <v>25.226955413818398</v>
      </c>
    </row>
    <row r="5" spans="1:13" x14ac:dyDescent="0.2">
      <c r="A5" s="6" t="s">
        <v>3</v>
      </c>
      <c r="B5" s="6">
        <v>31.872085571289102</v>
      </c>
      <c r="C5" s="6">
        <v>30.902725219726602</v>
      </c>
      <c r="D5" s="6">
        <v>31.212018966674801</v>
      </c>
      <c r="E5" s="6">
        <v>30.7579040527344</v>
      </c>
      <c r="F5" s="6">
        <v>24.5827732086182</v>
      </c>
      <c r="G5" s="6">
        <v>24.715969085693398</v>
      </c>
      <c r="H5" s="6">
        <v>24.8173923492432</v>
      </c>
      <c r="I5" s="6">
        <v>24.961366653442401</v>
      </c>
    </row>
    <row r="6" spans="1:13" x14ac:dyDescent="0.2">
      <c r="A6" s="6" t="s">
        <v>4</v>
      </c>
      <c r="B6" s="6">
        <v>23.855991363525401</v>
      </c>
      <c r="C6" s="6">
        <v>23.7980251312256</v>
      </c>
      <c r="D6" s="6">
        <v>23.725639343261701</v>
      </c>
      <c r="E6" s="6">
        <v>23.6528224945068</v>
      </c>
      <c r="F6" s="6">
        <v>30.3630676269531</v>
      </c>
      <c r="G6" s="6">
        <v>30.2015781402588</v>
      </c>
      <c r="H6" s="6">
        <v>30.3240756988525</v>
      </c>
      <c r="I6" s="6">
        <v>30.188562393188501</v>
      </c>
    </row>
    <row r="7" spans="1:13" x14ac:dyDescent="0.2">
      <c r="A7" s="6" t="s">
        <v>5</v>
      </c>
      <c r="B7" s="6">
        <v>26.196245193481399</v>
      </c>
      <c r="C7" s="6">
        <v>26.244182586669901</v>
      </c>
      <c r="D7" s="6">
        <v>25.998121261596701</v>
      </c>
      <c r="E7" s="6">
        <v>26.027061462402301</v>
      </c>
      <c r="F7" s="6">
        <v>28.7500705718994</v>
      </c>
      <c r="G7" s="6">
        <v>28.696580886840799</v>
      </c>
      <c r="H7" s="6">
        <v>28.4566535949707</v>
      </c>
      <c r="I7" s="6">
        <v>28.4219264984131</v>
      </c>
    </row>
    <row r="8" spans="1:13" x14ac:dyDescent="0.2">
      <c r="A8" s="6" t="s">
        <v>7</v>
      </c>
      <c r="B8" s="6">
        <v>28.6187133789062</v>
      </c>
      <c r="C8" s="6">
        <v>28.4185905456543</v>
      </c>
      <c r="D8" s="6">
        <v>28.511457443237301</v>
      </c>
      <c r="E8" s="6">
        <v>28.305660247802699</v>
      </c>
      <c r="F8" s="6">
        <v>27.765968322753899</v>
      </c>
      <c r="G8" s="6">
        <v>27.944797515869102</v>
      </c>
      <c r="H8" s="6">
        <v>27.8701572418213</v>
      </c>
      <c r="I8" s="6">
        <v>27.925645828247099</v>
      </c>
    </row>
    <row r="9" spans="1:13" x14ac:dyDescent="0.2">
      <c r="A9" s="6" t="s">
        <v>8</v>
      </c>
      <c r="B9" s="6" t="s">
        <v>6</v>
      </c>
      <c r="C9" s="6">
        <v>31.1334743499756</v>
      </c>
      <c r="D9" s="6">
        <v>30.890935897827099</v>
      </c>
      <c r="E9" s="6">
        <v>30.638114929199201</v>
      </c>
      <c r="F9" s="6">
        <v>26.592422485351602</v>
      </c>
      <c r="G9" s="6">
        <v>27.1111450195312</v>
      </c>
      <c r="H9" s="6">
        <v>27.1492729187012</v>
      </c>
      <c r="I9" s="6">
        <v>26.949264526367202</v>
      </c>
    </row>
    <row r="10" spans="1:13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13" x14ac:dyDescent="0.2">
      <c r="A11" s="22"/>
      <c r="B11" s="22"/>
      <c r="C11" s="22"/>
      <c r="D11" s="22"/>
      <c r="E11" s="22"/>
      <c r="F11" s="22"/>
      <c r="G11" s="22"/>
      <c r="H11" s="22"/>
      <c r="I11" s="22"/>
    </row>
    <row r="12" spans="1:13" x14ac:dyDescent="0.2">
      <c r="A12" s="22"/>
      <c r="B12" s="6" t="s">
        <v>9</v>
      </c>
      <c r="C12" s="6" t="s">
        <v>10</v>
      </c>
      <c r="D12" s="6" t="s">
        <v>49</v>
      </c>
      <c r="E12" s="6" t="s">
        <v>50</v>
      </c>
      <c r="F12" s="6" t="s">
        <v>9</v>
      </c>
      <c r="G12" s="6" t="s">
        <v>10</v>
      </c>
      <c r="H12" s="6" t="s">
        <v>13</v>
      </c>
      <c r="I12" s="6" t="s">
        <v>14</v>
      </c>
    </row>
    <row r="13" spans="1:13" x14ac:dyDescent="0.2">
      <c r="A13" s="22"/>
      <c r="B13" s="6">
        <v>40063.74</v>
      </c>
      <c r="C13" s="6">
        <f>LOG(B13)</f>
        <v>4.6027514887804868</v>
      </c>
      <c r="D13" s="6">
        <f>AVERAGE(B2:E2)</f>
        <v>25.235315322876001</v>
      </c>
      <c r="E13" s="6">
        <f>_xlfn.STDEV.S(B2:E2)/D13</f>
        <v>1.7015128773478261E-2</v>
      </c>
      <c r="F13" s="6">
        <v>80060.210000000006</v>
      </c>
      <c r="G13" s="6">
        <f>LOG(F13)</f>
        <v>4.903416724936231</v>
      </c>
      <c r="H13" s="6">
        <f>AVERAGE(B6:E6)</f>
        <v>23.758119583129876</v>
      </c>
      <c r="I13" s="6">
        <f>_xlfn.STDEV.S(B6:E6)/H13</f>
        <v>3.7105105022845271E-3</v>
      </c>
    </row>
    <row r="14" spans="1:13" x14ac:dyDescent="0.2">
      <c r="A14" s="22"/>
      <c r="B14" s="6">
        <v>8012.75</v>
      </c>
      <c r="C14" s="6">
        <f>LOG(B14)</f>
        <v>3.9037815928453381</v>
      </c>
      <c r="D14" s="6">
        <f>AVERAGE(B3:E3)</f>
        <v>27.749831199645975</v>
      </c>
      <c r="E14" s="6">
        <f>_xlfn.STDEV.S(B3:E3)/D14</f>
        <v>6.1248368830739332E-3</v>
      </c>
      <c r="F14" s="6">
        <v>16012.04</v>
      </c>
      <c r="G14" s="6">
        <f>LOG(F14)</f>
        <v>4.204446666354225</v>
      </c>
      <c r="H14" s="6">
        <f>AVERAGE(B7:E7)</f>
        <v>26.116402626037573</v>
      </c>
      <c r="I14" s="6">
        <f>_xlfn.STDEV.S(B7:E7)/H14</f>
        <v>4.6725903515521926E-3</v>
      </c>
    </row>
    <row r="15" spans="1:13" x14ac:dyDescent="0.2">
      <c r="A15" s="22"/>
      <c r="B15" s="6">
        <v>1602.55</v>
      </c>
      <c r="C15" s="6">
        <f>LOG(B15)</f>
        <v>3.2048115885093194</v>
      </c>
      <c r="D15" s="6">
        <f>AVERAGE(B4:E4)</f>
        <v>29.032239437103275</v>
      </c>
      <c r="E15" s="6">
        <f>_xlfn.STDEV.S(B4:E4)/D15</f>
        <v>5.6170066795012945E-3</v>
      </c>
      <c r="F15" s="6">
        <v>3202.41</v>
      </c>
      <c r="G15" s="6">
        <f>LOG(F15)</f>
        <v>3.5054769332480724</v>
      </c>
      <c r="H15" s="6">
        <f>AVERAGE(B8:E8)</f>
        <v>28.463605403900125</v>
      </c>
      <c r="I15" s="6">
        <f>_xlfn.STDEV.S(B8:E8)/H15</f>
        <v>4.6838165140665267E-3</v>
      </c>
    </row>
    <row r="16" spans="1:13" x14ac:dyDescent="0.2">
      <c r="A16" s="22"/>
      <c r="B16" s="6">
        <v>320.51</v>
      </c>
      <c r="C16" s="6">
        <f>LOG(B16)</f>
        <v>2.5058415841733006</v>
      </c>
      <c r="D16" s="6">
        <f>AVERAGE(B5:E5)</f>
        <v>31.186183452606226</v>
      </c>
      <c r="E16" s="6">
        <f>_xlfn.STDEV.S(B5:E5)/D16</f>
        <v>1.5870534876078781E-2</v>
      </c>
      <c r="F16" s="6">
        <v>640.48</v>
      </c>
      <c r="G16" s="6">
        <f>LOG(F16)</f>
        <v>2.8065055727610297</v>
      </c>
      <c r="H16" s="6">
        <f>AVERAGE(B9:E9)</f>
        <v>30.887508392333967</v>
      </c>
      <c r="I16" s="6">
        <f>_xlfn.STDEV.S(B9:E9)/H16</f>
        <v>8.0193421034818677E-3</v>
      </c>
      <c r="K16" s="2" t="s">
        <v>15</v>
      </c>
      <c r="L16" s="2">
        <v>-3.29</v>
      </c>
      <c r="M16" s="2">
        <v>39.92</v>
      </c>
    </row>
    <row r="17" spans="1:16" x14ac:dyDescent="0.2">
      <c r="A17" s="22"/>
      <c r="B17" s="26"/>
      <c r="C17" s="22"/>
      <c r="D17" s="22"/>
      <c r="E17" s="22"/>
      <c r="F17" s="27"/>
      <c r="G17" s="22"/>
      <c r="H17" s="22"/>
      <c r="I17" s="22"/>
      <c r="K17" s="2" t="s">
        <v>16</v>
      </c>
      <c r="L17" s="2">
        <v>-2.73</v>
      </c>
      <c r="M17" s="2">
        <v>38.03</v>
      </c>
    </row>
    <row r="18" spans="1:16" x14ac:dyDescent="0.2">
      <c r="B18" s="5"/>
    </row>
    <row r="19" spans="1:16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ht="24" x14ac:dyDescent="0.2">
      <c r="A21" s="6" t="s">
        <v>17</v>
      </c>
      <c r="B21" s="6" t="s">
        <v>10</v>
      </c>
      <c r="C21" s="6" t="s">
        <v>10</v>
      </c>
      <c r="D21" s="6" t="s">
        <v>10</v>
      </c>
      <c r="E21" s="6" t="s">
        <v>10</v>
      </c>
      <c r="F21" s="6" t="s">
        <v>18</v>
      </c>
      <c r="G21" s="6" t="s">
        <v>19</v>
      </c>
      <c r="H21" s="6" t="s">
        <v>10</v>
      </c>
      <c r="I21" s="6" t="s">
        <v>10</v>
      </c>
      <c r="J21" s="6" t="s">
        <v>10</v>
      </c>
      <c r="K21" s="6" t="s">
        <v>10</v>
      </c>
      <c r="L21" s="6" t="s">
        <v>18</v>
      </c>
      <c r="M21" s="6" t="s">
        <v>19</v>
      </c>
      <c r="N21" s="6" t="s">
        <v>20</v>
      </c>
      <c r="O21" s="6" t="s">
        <v>21</v>
      </c>
      <c r="P21" s="22"/>
    </row>
    <row r="22" spans="1:16" x14ac:dyDescent="0.2">
      <c r="A22" s="7" t="s">
        <v>22</v>
      </c>
      <c r="B22" s="6">
        <f t="shared" ref="B22:E25" si="0">10^((F2-$M$17)/$L$17)</f>
        <v>32332.645091370345</v>
      </c>
      <c r="C22" s="6">
        <f t="shared" si="0"/>
        <v>25455.782487992998</v>
      </c>
      <c r="D22" s="6">
        <f t="shared" si="0"/>
        <v>24015.292586997166</v>
      </c>
      <c r="E22" s="6">
        <f t="shared" si="0"/>
        <v>28397.318756178702</v>
      </c>
      <c r="F22" s="6">
        <f>AVERAGE(B22:E22)</f>
        <v>27550.259730634803</v>
      </c>
      <c r="G22" s="8">
        <f>_xlfn.STDEV.S(B22:E22)/F22</f>
        <v>0.13331793383778404</v>
      </c>
      <c r="H22" s="6">
        <f t="shared" ref="H22:K25" si="1">10^((F6-$M$16)/$L$16)</f>
        <v>803.23507861581788</v>
      </c>
      <c r="I22" s="6">
        <f t="shared" si="1"/>
        <v>899.34767642571296</v>
      </c>
      <c r="J22" s="6">
        <f t="shared" si="1"/>
        <v>825.45673712194912</v>
      </c>
      <c r="K22" s="6">
        <f t="shared" si="1"/>
        <v>907.57760539418575</v>
      </c>
      <c r="L22" s="6">
        <f>AVERAGE(H22:K22)</f>
        <v>858.9042743894164</v>
      </c>
      <c r="M22" s="6">
        <f>_xlfn.STDEV.S(H22:K22) / L22</f>
        <v>6.0953424251018268E-2</v>
      </c>
      <c r="N22" s="6">
        <f>F22/L22</f>
        <v>32.076053818942647</v>
      </c>
      <c r="O22" s="10">
        <f>SQRT(G22^2+M22^2) * N22</f>
        <v>4.7020684780203581</v>
      </c>
      <c r="P22" s="22"/>
    </row>
    <row r="23" spans="1:16" x14ac:dyDescent="0.2">
      <c r="A23" s="7" t="s">
        <v>23</v>
      </c>
      <c r="B23" s="6">
        <f t="shared" si="0"/>
        <v>53775.4643309413</v>
      </c>
      <c r="C23" s="6">
        <f t="shared" si="0"/>
        <v>48070.850199562621</v>
      </c>
      <c r="D23" s="6">
        <f t="shared" si="0"/>
        <v>40645.587024134053</v>
      </c>
      <c r="E23" s="6">
        <f t="shared" si="0"/>
        <v>39490.439837544356</v>
      </c>
      <c r="F23" s="6">
        <f>AVERAGE(B23:E23)</f>
        <v>45495.585348045584</v>
      </c>
      <c r="G23" s="8">
        <f>_xlfn.STDEV.S(B23:E23)/F23</f>
        <v>0.14732314641831865</v>
      </c>
      <c r="H23" s="6">
        <f t="shared" si="1"/>
        <v>2483.7925933716228</v>
      </c>
      <c r="I23" s="6">
        <f t="shared" si="1"/>
        <v>2578.538324318225</v>
      </c>
      <c r="J23" s="6">
        <f t="shared" si="1"/>
        <v>3049.9998582153862</v>
      </c>
      <c r="K23" s="6">
        <f t="shared" si="1"/>
        <v>3125.0370284896085</v>
      </c>
      <c r="L23" s="6">
        <f>AVERAGE(H23:K23)</f>
        <v>2809.3419510987105</v>
      </c>
      <c r="M23" s="6">
        <f>_xlfn.STDEV.S(H23:K23) / L23</f>
        <v>0.11567766113658115</v>
      </c>
      <c r="N23" s="6">
        <f>F23/L23</f>
        <v>16.194392188623617</v>
      </c>
      <c r="O23" s="10">
        <f>SQRT(G23^2+M23^2) * N23</f>
        <v>3.0333886613554957</v>
      </c>
      <c r="P23" s="22"/>
    </row>
    <row r="24" spans="1:16" x14ac:dyDescent="0.2">
      <c r="A24" s="7" t="s">
        <v>24</v>
      </c>
      <c r="B24" s="6">
        <f t="shared" si="0"/>
        <v>73991.892880275394</v>
      </c>
      <c r="C24" s="6">
        <f t="shared" si="0"/>
        <v>57838.286100877827</v>
      </c>
      <c r="D24" s="6">
        <f t="shared" si="0"/>
        <v>44347.203215825968</v>
      </c>
      <c r="E24" s="6">
        <f t="shared" si="0"/>
        <v>48950.814408414779</v>
      </c>
      <c r="F24" s="6">
        <f>AVERAGE(B24:D24)</f>
        <v>58725.794065659727</v>
      </c>
      <c r="G24" s="8">
        <f>_xlfn.STDEV.S(B24:E24)/F24</f>
        <v>0.22251054923845501</v>
      </c>
      <c r="H24" s="6">
        <f t="shared" si="1"/>
        <v>4945.7772480252206</v>
      </c>
      <c r="I24" s="6">
        <f t="shared" si="1"/>
        <v>4363.9440563588105</v>
      </c>
      <c r="J24" s="6">
        <f t="shared" si="1"/>
        <v>4597.9705776339197</v>
      </c>
      <c r="K24" s="6">
        <f t="shared" si="1"/>
        <v>4422.8311142394505</v>
      </c>
      <c r="L24" s="6">
        <f>AVERAGE(H24:K24)</f>
        <v>4582.6307490643503</v>
      </c>
      <c r="M24" s="6">
        <f>_xlfn.STDEV.S(H24:K24) / L24</f>
        <v>5.7108299515622546E-2</v>
      </c>
      <c r="N24" s="6">
        <f>F24/L24</f>
        <v>12.814864928327458</v>
      </c>
      <c r="O24" s="10">
        <f>SQRT(G24^2+M24^2) * N24</f>
        <v>2.9438593328588052</v>
      </c>
      <c r="P24" s="22"/>
    </row>
    <row r="25" spans="1:16" x14ac:dyDescent="0.2">
      <c r="A25" s="7" t="s">
        <v>25</v>
      </c>
      <c r="B25" s="6">
        <f t="shared" si="0"/>
        <v>84279.917033000136</v>
      </c>
      <c r="C25" s="6">
        <f t="shared" si="0"/>
        <v>75324.17797498958</v>
      </c>
      <c r="D25" s="6">
        <f t="shared" si="0"/>
        <v>69148.541177039675</v>
      </c>
      <c r="E25" s="6">
        <f t="shared" si="0"/>
        <v>61241.410100027693</v>
      </c>
      <c r="F25" s="6">
        <f>AVERAGE(B25:E25)</f>
        <v>72498.511571264273</v>
      </c>
      <c r="G25" s="8">
        <f>_xlfn.STDEV.S(B25:E25)/F25</f>
        <v>0.13437773249472151</v>
      </c>
      <c r="H25" s="6">
        <f t="shared" si="1"/>
        <v>11244.377430795023</v>
      </c>
      <c r="I25" s="6">
        <f t="shared" si="1"/>
        <v>7821.1207504938584</v>
      </c>
      <c r="J25" s="6">
        <f t="shared" si="1"/>
        <v>7615.1763301687824</v>
      </c>
      <c r="K25" s="6">
        <f t="shared" si="1"/>
        <v>8759.3683219351242</v>
      </c>
      <c r="L25" s="6">
        <f>AVERAGE(H25:K25)</f>
        <v>8860.0107083481962</v>
      </c>
      <c r="M25" s="6">
        <f>_xlfn.STDEV.S(H25:K25) / L25</f>
        <v>0.18800845653044881</v>
      </c>
      <c r="N25" s="6">
        <f>F25/L25</f>
        <v>8.1826663598672376</v>
      </c>
      <c r="O25" s="10">
        <f>SQRT(G25^2+M25^2) * N25</f>
        <v>1.8909671867609974</v>
      </c>
      <c r="P25" s="22"/>
    </row>
    <row r="29" spans="1:16" ht="24" x14ac:dyDescent="0.2">
      <c r="H29" s="11" t="s">
        <v>26</v>
      </c>
    </row>
    <row r="30" spans="1:16" x14ac:dyDescent="0.2">
      <c r="H30" s="2" t="s">
        <v>27</v>
      </c>
      <c r="I30" s="2">
        <v>0.05</v>
      </c>
    </row>
    <row r="31" spans="1:16" x14ac:dyDescent="0.2">
      <c r="C31" s="2">
        <f t="shared" ref="C31:E34" si="2">C22 / I22</f>
        <v>28.304718136552246</v>
      </c>
      <c r="D31" s="2">
        <f t="shared" si="2"/>
        <v>29.093338883790899</v>
      </c>
      <c r="E31" s="2">
        <f t="shared" si="2"/>
        <v>31.289135592812443</v>
      </c>
    </row>
    <row r="32" spans="1:16" x14ac:dyDescent="0.2">
      <c r="B32" s="2">
        <f>B23 / H23</f>
        <v>21.650545409648647</v>
      </c>
      <c r="C32" s="2">
        <f t="shared" si="2"/>
        <v>18.642674319092283</v>
      </c>
      <c r="D32" s="2">
        <f t="shared" si="2"/>
        <v>13.326422594628109</v>
      </c>
      <c r="E32" s="2">
        <f t="shared" si="2"/>
        <v>12.636791013203085</v>
      </c>
      <c r="H32" s="21" t="s">
        <v>28</v>
      </c>
      <c r="I32" s="21" t="s">
        <v>29</v>
      </c>
      <c r="J32" s="21" t="s">
        <v>30</v>
      </c>
      <c r="K32" s="21" t="s">
        <v>18</v>
      </c>
      <c r="L32" s="21" t="s">
        <v>31</v>
      </c>
    </row>
    <row r="33" spans="1:14" x14ac:dyDescent="0.2">
      <c r="A33" s="14"/>
      <c r="B33" s="2">
        <f>B24 / H24</f>
        <v>14.960619771102573</v>
      </c>
      <c r="C33" s="2">
        <f t="shared" si="2"/>
        <v>13.253672676348872</v>
      </c>
      <c r="D33" s="2">
        <f t="shared" si="2"/>
        <v>9.6449514991561127</v>
      </c>
      <c r="E33" s="2">
        <f t="shared" si="2"/>
        <v>11.06775573021905</v>
      </c>
      <c r="H33" s="2" t="s">
        <v>32</v>
      </c>
      <c r="I33" s="2">
        <f>COUNT('a-hCG'!$B$31:$E$31)</f>
        <v>3</v>
      </c>
      <c r="J33" s="2">
        <f>SUM('a-hCG'!$B$31:$E$31)</f>
        <v>88.687192613155588</v>
      </c>
      <c r="K33" s="2">
        <f>AVERAGE('a-hCG'!$B$31:$E$31)</f>
        <v>29.562397537718528</v>
      </c>
      <c r="L33" s="2">
        <f>VAR('a-hCG'!$B$31:$E$31)</f>
        <v>2.3916989039259455</v>
      </c>
      <c r="M33" s="2">
        <f>AVERAGE(L33:L36)</f>
        <v>7.0459231661231891</v>
      </c>
    </row>
    <row r="34" spans="1:14" x14ac:dyDescent="0.2">
      <c r="B34" s="2">
        <f>B25 / H25</f>
        <v>7.4952942083020426</v>
      </c>
      <c r="C34" s="2">
        <f t="shared" si="2"/>
        <v>9.63086754161586</v>
      </c>
      <c r="D34" s="2">
        <f t="shared" si="2"/>
        <v>9.0803598208351755</v>
      </c>
      <c r="E34" s="2">
        <f t="shared" si="2"/>
        <v>6.9915327052371525</v>
      </c>
      <c r="H34" s="2" t="s">
        <v>33</v>
      </c>
      <c r="I34" s="2">
        <f>COUNT('a-hCG'!$B$32:$E$32)</f>
        <v>4</v>
      </c>
      <c r="J34" s="2">
        <f>SUM('a-hCG'!$B$32:$E$32)</f>
        <v>66.256433336572115</v>
      </c>
      <c r="K34" s="2">
        <f>AVERAGE('a-hCG'!$B$32:$E$32)</f>
        <v>16.564108334143029</v>
      </c>
      <c r="L34" s="2">
        <f>VAR('a-hCG'!$B$32:$E$32)</f>
        <v>18.699569654693203</v>
      </c>
    </row>
    <row r="35" spans="1:14" x14ac:dyDescent="0.2">
      <c r="C35" s="4"/>
      <c r="H35" s="2" t="s">
        <v>34</v>
      </c>
      <c r="I35" s="2">
        <f>COUNT('a-hCG'!$B$33:$E$33)</f>
        <v>4</v>
      </c>
      <c r="J35" s="2">
        <f>SUM('a-hCG'!$B$33:$E$33)</f>
        <v>48.926999676826604</v>
      </c>
      <c r="K35" s="2">
        <f>AVERAGE('a-hCG'!$B$33:$E$33)</f>
        <v>12.231749919206651</v>
      </c>
      <c r="L35" s="2">
        <f>VAR('a-hCG'!$B$33:$E$33)</f>
        <v>5.5124884427081797</v>
      </c>
    </row>
    <row r="36" spans="1:14" x14ac:dyDescent="0.2">
      <c r="H36" s="22" t="s">
        <v>35</v>
      </c>
      <c r="I36" s="22">
        <f>COUNT('a-hCG'!$B$34:$E$34)</f>
        <v>4</v>
      </c>
      <c r="J36" s="22">
        <f>SUM('a-hCG'!$B$34:$E$34)</f>
        <v>33.198054275990231</v>
      </c>
      <c r="K36" s="22">
        <f>AVERAGE('a-hCG'!$B$34:$E$34)</f>
        <v>8.2995135689975577</v>
      </c>
      <c r="L36" s="22">
        <f>VAR('a-hCG'!$B$34:$E$34)</f>
        <v>1.5799356631654291</v>
      </c>
    </row>
    <row r="37" spans="1:14" x14ac:dyDescent="0.2">
      <c r="A37" s="16"/>
    </row>
    <row r="38" spans="1:14" ht="24" x14ac:dyDescent="0.2">
      <c r="A38" s="16"/>
      <c r="H38" s="2" t="s">
        <v>36</v>
      </c>
      <c r="I38" s="2" t="s">
        <v>37</v>
      </c>
      <c r="J38" s="2" t="s">
        <v>38</v>
      </c>
      <c r="K38" s="2" t="s">
        <v>39</v>
      </c>
      <c r="L38" s="2" t="s">
        <v>5</v>
      </c>
      <c r="M38" s="2" t="s">
        <v>40</v>
      </c>
      <c r="N38" s="2" t="s">
        <v>41</v>
      </c>
    </row>
    <row r="39" spans="1:14" ht="24" x14ac:dyDescent="0.2">
      <c r="A39" s="16"/>
      <c r="H39" s="2" t="s">
        <v>42</v>
      </c>
      <c r="I39" s="2">
        <f>SUMPRODUCT('a-hCG'!$J$33:$J$36,'a-hCG'!$K$33:$K$36)-SUM('a-hCG'!$J$33:$J$36)^2/SUM('a-hCG'!$I$33:$I$36)</f>
        <v>846.50471104482949</v>
      </c>
      <c r="J39" s="2">
        <f>COUNT('a-hCG'!$J$33:$J$36)-1</f>
        <v>3</v>
      </c>
      <c r="K39" s="2">
        <f>'a-hCG'!$I$39 / 'a-hCG'!$J$39</f>
        <v>282.16823701494314</v>
      </c>
      <c r="L39" s="2">
        <f>'a-hCG'!$K$39 / 'a-hCG'!$K$40</f>
        <v>37.778408765495172</v>
      </c>
      <c r="M39" s="2">
        <f>FDIST('a-hCG'!$L$39, 'a-hCG'!$J$39, 'a-hCG'!$J$40)</f>
        <v>4.375776043143075E-6</v>
      </c>
      <c r="N39" s="2">
        <f>FINV('a-hCG'!$I$30, 'a-hCG'!$J$39, 'a-hCG'!$J$40)</f>
        <v>3.5874337024204954</v>
      </c>
    </row>
    <row r="40" spans="1:14" ht="24" x14ac:dyDescent="0.2">
      <c r="H40" s="21" t="s">
        <v>43</v>
      </c>
      <c r="I40" s="21">
        <f>SUM(DEVSQ('a-hCG'!$B$31:$E$31),DEVSQ('a-hCG'!$B$32:$E$32),DEVSQ('a-hCG'!$B$33:$E$33),DEVSQ('a-hCG'!$B$34:$E$34))</f>
        <v>82.159379089552075</v>
      </c>
      <c r="J40" s="21">
        <f>SUM('a-hCG'!$I$33:$I$36)-COUNT('a-hCG'!$I$33:$I$36)</f>
        <v>11</v>
      </c>
      <c r="K40" s="21">
        <f>'a-hCG'!$I$40 / 'a-hCG'!$J$40</f>
        <v>7.4690344626865519</v>
      </c>
      <c r="L40" s="21"/>
      <c r="M40" s="21"/>
      <c r="N40" s="21"/>
    </row>
    <row r="41" spans="1:14" x14ac:dyDescent="0.2">
      <c r="H41" s="2" t="s">
        <v>44</v>
      </c>
      <c r="I41" s="2">
        <f>DEVSQ('a-hCG'!$B$31:$E$31,'a-hCG'!$B$32:$E$32,'a-hCG'!$B$33:$E$33,'a-hCG'!$B$34:$E$34)</f>
        <v>928.66409013438215</v>
      </c>
      <c r="J41" s="2">
        <f>SUM('a-hCG'!$I$33:$I$36) - 1</f>
        <v>14</v>
      </c>
    </row>
    <row r="43" spans="1:14" ht="24" x14ac:dyDescent="0.2">
      <c r="H43" s="2" t="s">
        <v>28</v>
      </c>
      <c r="I43" s="2" t="s">
        <v>45</v>
      </c>
      <c r="J43" s="2" t="s">
        <v>46</v>
      </c>
      <c r="K43" s="2" t="s">
        <v>47</v>
      </c>
    </row>
    <row r="44" spans="1:14" x14ac:dyDescent="0.2">
      <c r="H44" s="2" t="s">
        <v>51</v>
      </c>
      <c r="I44" s="2">
        <f>ABS(K33 - K34)</f>
        <v>12.998289203575499</v>
      </c>
      <c r="J44" s="12">
        <f>$J$51 * (SQRT($M$33/4))</f>
        <v>5.5742731510577475</v>
      </c>
      <c r="K44" s="12">
        <f t="shared" ref="K44:K49" si="3">IF(I44&gt;$J$44, 1, 0)</f>
        <v>1</v>
      </c>
      <c r="L44" s="22"/>
      <c r="M44" s="22"/>
      <c r="N44" s="22"/>
    </row>
    <row r="45" spans="1:14" x14ac:dyDescent="0.2">
      <c r="H45" s="2" t="s">
        <v>52</v>
      </c>
      <c r="I45" s="2">
        <f>ABS(K33 - K35)</f>
        <v>17.330647618511875</v>
      </c>
      <c r="J45" s="12"/>
      <c r="K45" s="12">
        <f t="shared" si="3"/>
        <v>1</v>
      </c>
    </row>
    <row r="46" spans="1:14" x14ac:dyDescent="0.2">
      <c r="H46" s="2" t="s">
        <v>53</v>
      </c>
      <c r="I46" s="2">
        <f>ABS(K33 - K36)</f>
        <v>21.262883968720971</v>
      </c>
      <c r="J46" s="12"/>
      <c r="K46" s="12">
        <f t="shared" si="3"/>
        <v>1</v>
      </c>
    </row>
    <row r="47" spans="1:14" x14ac:dyDescent="0.2">
      <c r="H47" s="2" t="s">
        <v>54</v>
      </c>
      <c r="I47" s="2">
        <f>ABS(K34 - K35)</f>
        <v>4.3323584149363779</v>
      </c>
      <c r="J47" s="12"/>
      <c r="K47" s="12">
        <f t="shared" si="3"/>
        <v>0</v>
      </c>
    </row>
    <row r="48" spans="1:14" x14ac:dyDescent="0.2">
      <c r="H48" s="2" t="s">
        <v>55</v>
      </c>
      <c r="I48" s="2">
        <f>ABS(K34 - K36)</f>
        <v>8.2645947651454712</v>
      </c>
      <c r="J48" s="12"/>
      <c r="K48" s="12">
        <f t="shared" si="3"/>
        <v>1</v>
      </c>
    </row>
    <row r="49" spans="1:11" x14ac:dyDescent="0.2">
      <c r="B49" s="5"/>
      <c r="H49" s="2" t="s">
        <v>56</v>
      </c>
      <c r="I49" s="2">
        <f>ABS(K35 - K36)</f>
        <v>3.9322363502090933</v>
      </c>
      <c r="J49" s="12"/>
      <c r="K49" s="12">
        <f t="shared" si="3"/>
        <v>0</v>
      </c>
    </row>
    <row r="50" spans="1:11" x14ac:dyDescent="0.2">
      <c r="A50" s="16"/>
      <c r="B50" s="5"/>
    </row>
    <row r="51" spans="1:11" x14ac:dyDescent="0.2">
      <c r="A51" s="16"/>
      <c r="B51" s="5"/>
      <c r="J51" s="2">
        <v>4.2</v>
      </c>
    </row>
    <row r="52" spans="1:11" x14ac:dyDescent="0.2">
      <c r="A52" s="16"/>
      <c r="B52" s="5"/>
    </row>
    <row r="53" spans="1:11" x14ac:dyDescent="0.2">
      <c r="B53" s="5"/>
    </row>
    <row r="54" spans="1:11" x14ac:dyDescent="0.2">
      <c r="B54" s="5"/>
    </row>
    <row r="55" spans="1:11" x14ac:dyDescent="0.2">
      <c r="B55" s="5"/>
    </row>
    <row r="57" spans="1:11" x14ac:dyDescent="0.2">
      <c r="J57" s="25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opLeftCell="A16" zoomScale="110" zoomScaleNormal="110" workbookViewId="0">
      <selection activeCell="H44" sqref="H44:H51"/>
    </sheetView>
  </sheetViews>
  <sheetFormatPr defaultColWidth="11.5703125" defaultRowHeight="12.75" x14ac:dyDescent="0.2"/>
  <cols>
    <col min="1" max="1024" width="11.5703125" style="2"/>
  </cols>
  <sheetData>
    <row r="1" spans="1:13" x14ac:dyDescent="0.2">
      <c r="A1" s="6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</row>
    <row r="2" spans="1:13" x14ac:dyDescent="0.2">
      <c r="A2" s="6" t="s">
        <v>0</v>
      </c>
      <c r="B2" s="6">
        <v>26.682144165039102</v>
      </c>
      <c r="C2" s="6">
        <v>26.6568927764893</v>
      </c>
      <c r="D2" s="6">
        <v>26.705919265747099</v>
      </c>
      <c r="E2" s="6">
        <v>26.634271621704102</v>
      </c>
      <c r="F2" s="6">
        <v>24.740972518920898</v>
      </c>
      <c r="G2" s="6">
        <v>24.806463241577099</v>
      </c>
      <c r="H2" s="6">
        <v>24.410568237304702</v>
      </c>
      <c r="I2" s="6">
        <v>24.690845489501999</v>
      </c>
    </row>
    <row r="3" spans="1:13" x14ac:dyDescent="0.2">
      <c r="A3" s="6" t="s">
        <v>1</v>
      </c>
      <c r="B3" s="6">
        <v>29.261268615722699</v>
      </c>
      <c r="C3" s="6">
        <v>29.069982528686499</v>
      </c>
      <c r="D3" s="6">
        <v>28.859289169311499</v>
      </c>
      <c r="E3" s="6">
        <v>29.431278228759801</v>
      </c>
      <c r="F3" s="6">
        <v>25.906833648681602</v>
      </c>
      <c r="G3" s="6">
        <v>26.1362190246582</v>
      </c>
      <c r="H3" s="6">
        <v>26.080223083496101</v>
      </c>
      <c r="I3" s="6">
        <v>26.023687362670898</v>
      </c>
    </row>
    <row r="4" spans="1:13" x14ac:dyDescent="0.2">
      <c r="A4" s="6" t="s">
        <v>2</v>
      </c>
      <c r="B4" s="6">
        <v>30.963176727294901</v>
      </c>
      <c r="C4" s="6">
        <v>30.851499557495099</v>
      </c>
      <c r="D4" s="6">
        <v>30.4816989898682</v>
      </c>
      <c r="E4" s="6">
        <v>29.818508148193398</v>
      </c>
      <c r="F4" s="6">
        <v>25.572526931762699</v>
      </c>
      <c r="G4" s="6">
        <v>25.55517578125</v>
      </c>
      <c r="H4" s="6">
        <v>25.329900741577099</v>
      </c>
      <c r="I4" s="6">
        <v>25.3027153015137</v>
      </c>
    </row>
    <row r="5" spans="1:13" x14ac:dyDescent="0.2">
      <c r="A5" s="6" t="s">
        <v>3</v>
      </c>
      <c r="B5" s="6">
        <v>33.830772399902301</v>
      </c>
      <c r="C5" s="6">
        <v>32.392856597900398</v>
      </c>
      <c r="D5" s="6">
        <v>32.506118774414098</v>
      </c>
      <c r="E5" s="6">
        <v>32.695278167724602</v>
      </c>
      <c r="F5" s="6">
        <v>26.942167282104499</v>
      </c>
      <c r="G5" s="6">
        <v>26.860527038574201</v>
      </c>
      <c r="H5" s="6">
        <v>26.945125579833999</v>
      </c>
      <c r="I5" s="6">
        <v>26.734716415405298</v>
      </c>
    </row>
    <row r="6" spans="1:13" x14ac:dyDescent="0.2">
      <c r="A6" s="6" t="s">
        <v>4</v>
      </c>
      <c r="B6" s="6">
        <v>25.1046752929687</v>
      </c>
      <c r="C6" s="6">
        <v>25.278100967407202</v>
      </c>
      <c r="D6" s="6">
        <v>25.1167812347412</v>
      </c>
      <c r="E6" s="6">
        <v>25.184547424316399</v>
      </c>
      <c r="F6" s="6">
        <v>28.089828491210898</v>
      </c>
      <c r="G6" s="6">
        <v>28.1361198425293</v>
      </c>
      <c r="H6" s="6">
        <v>27.930747985839801</v>
      </c>
      <c r="I6" s="6">
        <v>27.750587463378899</v>
      </c>
    </row>
    <row r="7" spans="1:13" x14ac:dyDescent="0.2">
      <c r="A7" s="6" t="s">
        <v>5</v>
      </c>
      <c r="B7" s="6">
        <v>27.423995971679702</v>
      </c>
      <c r="C7" s="6">
        <v>27.4820461273193</v>
      </c>
      <c r="D7" s="6">
        <v>27.5711669921875</v>
      </c>
      <c r="E7" s="6">
        <v>27.695898056030298</v>
      </c>
      <c r="F7" s="6">
        <v>29.452949523925799</v>
      </c>
      <c r="G7" s="6">
        <v>29.5137424468994</v>
      </c>
      <c r="H7" s="6">
        <v>29.6101989746094</v>
      </c>
      <c r="I7" s="6">
        <v>29.015449523925799</v>
      </c>
    </row>
    <row r="8" spans="1:13" x14ac:dyDescent="0.2">
      <c r="A8" s="6" t="s">
        <v>7</v>
      </c>
      <c r="B8" s="6">
        <v>29.874923706054702</v>
      </c>
      <c r="C8" s="6">
        <v>29.701011657714801</v>
      </c>
      <c r="D8" s="6">
        <v>29.414758682251001</v>
      </c>
      <c r="E8" s="6">
        <v>29.9847297668457</v>
      </c>
      <c r="F8" s="6">
        <v>29.214052200317401</v>
      </c>
      <c r="G8" s="6">
        <v>29.280281066894499</v>
      </c>
      <c r="H8" s="6">
        <v>28.7252101898193</v>
      </c>
      <c r="I8" s="6">
        <v>28.604183197021499</v>
      </c>
    </row>
    <row r="9" spans="1:13" x14ac:dyDescent="0.2">
      <c r="A9" s="6" t="s">
        <v>8</v>
      </c>
      <c r="B9" s="6">
        <v>32.552452087402301</v>
      </c>
      <c r="C9" s="6">
        <v>32.133743286132798</v>
      </c>
      <c r="D9" s="6">
        <v>32.310661315917997</v>
      </c>
      <c r="E9" s="6">
        <v>32.788383483886697</v>
      </c>
      <c r="F9" s="6">
        <v>29.094638824462901</v>
      </c>
      <c r="G9" s="6">
        <v>28.744312286376999</v>
      </c>
      <c r="H9" s="6">
        <v>28.205060958862301</v>
      </c>
      <c r="I9" s="6">
        <v>28.592409133911101</v>
      </c>
    </row>
    <row r="10" spans="1:13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13" x14ac:dyDescent="0.2">
      <c r="A11" s="22"/>
      <c r="B11" s="22"/>
      <c r="C11" s="22"/>
      <c r="D11" s="22"/>
      <c r="E11" s="22"/>
      <c r="F11" s="22"/>
      <c r="G11" s="22"/>
      <c r="H11" s="22"/>
      <c r="I11" s="22"/>
    </row>
    <row r="12" spans="1:13" x14ac:dyDescent="0.2">
      <c r="A12" s="22"/>
      <c r="B12" s="6" t="s">
        <v>9</v>
      </c>
      <c r="C12" s="6" t="s">
        <v>10</v>
      </c>
      <c r="D12" s="6" t="s">
        <v>49</v>
      </c>
      <c r="E12" s="6" t="s">
        <v>50</v>
      </c>
      <c r="F12" s="6" t="s">
        <v>9</v>
      </c>
      <c r="G12" s="6" t="s">
        <v>10</v>
      </c>
      <c r="H12" s="6" t="s">
        <v>13</v>
      </c>
      <c r="I12" s="6" t="s">
        <v>14</v>
      </c>
    </row>
    <row r="13" spans="1:13" x14ac:dyDescent="0.2">
      <c r="A13" s="22"/>
      <c r="B13" s="6">
        <v>40063.74</v>
      </c>
      <c r="C13" s="6">
        <f>LOG(B13)</f>
        <v>4.6027514887804868</v>
      </c>
      <c r="D13" s="6">
        <f>AVERAGE(B2:E2)</f>
        <v>26.669806957244901</v>
      </c>
      <c r="E13" s="6">
        <f>_xlfn.STDEV.S(B2:E2)/D13</f>
        <v>1.1629358254687486E-3</v>
      </c>
      <c r="F13" s="6">
        <v>80060.210000000006</v>
      </c>
      <c r="G13" s="6">
        <f>LOG(F13)</f>
        <v>4.903416724936231</v>
      </c>
      <c r="H13" s="6">
        <f>AVERAGE(B6:E6)</f>
        <v>25.171026229858377</v>
      </c>
      <c r="I13" s="6">
        <f>_xlfn.STDEV.S(B6:E6)/H13</f>
        <v>3.161060557064329E-3</v>
      </c>
    </row>
    <row r="14" spans="1:13" x14ac:dyDescent="0.2">
      <c r="A14" s="22"/>
      <c r="B14" s="6">
        <v>8012.75</v>
      </c>
      <c r="C14" s="6">
        <f>LOG(B14)</f>
        <v>3.9037815928453381</v>
      </c>
      <c r="D14" s="6">
        <f>AVERAGE(B3:E3)</f>
        <v>29.155454635620124</v>
      </c>
      <c r="E14" s="6">
        <f>_xlfn.STDEV.S(B3:E3)/D14</f>
        <v>8.4548634226559085E-3</v>
      </c>
      <c r="F14" s="6">
        <v>16012.04</v>
      </c>
      <c r="G14" s="6">
        <f>LOG(F14)</f>
        <v>4.204446666354225</v>
      </c>
      <c r="H14" s="6">
        <f>AVERAGE(B7:E7)</f>
        <v>27.543276786804199</v>
      </c>
      <c r="I14" s="6">
        <f>_xlfn.STDEV.S(B7:E7)/H14</f>
        <v>4.2983085124980846E-3</v>
      </c>
    </row>
    <row r="15" spans="1:13" x14ac:dyDescent="0.2">
      <c r="A15" s="22"/>
      <c r="B15" s="6">
        <v>1602.55</v>
      </c>
      <c r="C15" s="6">
        <f>LOG(B15)</f>
        <v>3.2048115885093194</v>
      </c>
      <c r="D15" s="6">
        <f>AVERAGE(B4:E4)</f>
        <v>30.528720855712901</v>
      </c>
      <c r="E15" s="6">
        <f>_xlfn.STDEV.S(B4:E4)/D15</f>
        <v>1.6910400301943771E-2</v>
      </c>
      <c r="F15" s="6">
        <v>3202.41</v>
      </c>
      <c r="G15" s="6">
        <f>LOG(F15)</f>
        <v>3.5054769332480724</v>
      </c>
      <c r="H15" s="6">
        <f>AVERAGE(B8:E8)</f>
        <v>29.743855953216553</v>
      </c>
      <c r="I15" s="6">
        <f>_xlfn.STDEV.S(B8:E8)/H15</f>
        <v>8.3565345101872142E-3</v>
      </c>
    </row>
    <row r="16" spans="1:13" x14ac:dyDescent="0.2">
      <c r="A16" s="22"/>
      <c r="B16" s="6">
        <v>320.51</v>
      </c>
      <c r="C16" s="6">
        <f>LOG(B16)</f>
        <v>2.5058415841733006</v>
      </c>
      <c r="D16" s="6">
        <f>AVERAGE(B5:E5)</f>
        <v>32.856256484985352</v>
      </c>
      <c r="E16" s="6">
        <f>_xlfn.STDEV.S(B5:E5)/D16</f>
        <v>2.0134565876230984E-2</v>
      </c>
      <c r="F16" s="6">
        <v>640.48</v>
      </c>
      <c r="G16" s="6">
        <f>LOG(F16)</f>
        <v>2.8065055727610297</v>
      </c>
      <c r="H16" s="6">
        <f>AVERAGE(B9:E9)</f>
        <v>32.446310043334947</v>
      </c>
      <c r="I16" s="6">
        <f>_xlfn.STDEV.S(B9:E9)/H16</f>
        <v>8.7964195647996096E-3</v>
      </c>
      <c r="K16" s="2" t="s">
        <v>15</v>
      </c>
      <c r="L16" s="2">
        <v>-3.43</v>
      </c>
      <c r="M16" s="2">
        <v>41.98</v>
      </c>
    </row>
    <row r="17" spans="1:15" x14ac:dyDescent="0.2">
      <c r="A17" s="22"/>
      <c r="B17" s="26"/>
      <c r="C17" s="22"/>
      <c r="D17" s="22"/>
      <c r="E17" s="22"/>
      <c r="F17" s="27"/>
      <c r="G17" s="22"/>
      <c r="H17" s="22"/>
      <c r="I17" s="22"/>
      <c r="K17" s="2" t="s">
        <v>16</v>
      </c>
      <c r="L17" s="2">
        <v>-2.85</v>
      </c>
      <c r="M17" s="2">
        <v>39.9</v>
      </c>
    </row>
    <row r="18" spans="1:15" x14ac:dyDescent="0.2">
      <c r="B18" s="5"/>
    </row>
    <row r="20" spans="1:1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24" x14ac:dyDescent="0.2">
      <c r="A21" s="6" t="s">
        <v>17</v>
      </c>
      <c r="B21" s="6" t="s">
        <v>10</v>
      </c>
      <c r="C21" s="6" t="s">
        <v>10</v>
      </c>
      <c r="D21" s="6" t="s">
        <v>10</v>
      </c>
      <c r="E21" s="6" t="s">
        <v>10</v>
      </c>
      <c r="F21" s="6" t="s">
        <v>18</v>
      </c>
      <c r="G21" s="6" t="s">
        <v>19</v>
      </c>
      <c r="H21" s="6" t="s">
        <v>10</v>
      </c>
      <c r="I21" s="6" t="s">
        <v>10</v>
      </c>
      <c r="J21" s="6" t="s">
        <v>10</v>
      </c>
      <c r="K21" s="6" t="s">
        <v>10</v>
      </c>
      <c r="L21" s="6" t="s">
        <v>18</v>
      </c>
      <c r="M21" s="6" t="s">
        <v>19</v>
      </c>
      <c r="N21" s="6" t="s">
        <v>20</v>
      </c>
      <c r="O21" s="6" t="s">
        <v>21</v>
      </c>
    </row>
    <row r="22" spans="1:15" x14ac:dyDescent="0.2">
      <c r="A22" s="7" t="s">
        <v>22</v>
      </c>
      <c r="B22" s="6">
        <f t="shared" ref="B22:E25" si="0">10^((F2-$M$17)/$L$17)</f>
        <v>208428.45577915339</v>
      </c>
      <c r="C22" s="6">
        <f t="shared" si="0"/>
        <v>197686.86305643964</v>
      </c>
      <c r="D22" s="6">
        <f t="shared" si="0"/>
        <v>272200.13595792616</v>
      </c>
      <c r="E22" s="6">
        <f t="shared" si="0"/>
        <v>217042.82938366345</v>
      </c>
      <c r="F22" s="6">
        <f>AVERAGE(B22:E22)</f>
        <v>223839.57104429568</v>
      </c>
      <c r="G22" s="8">
        <f>_xlfn.STDEV.S(B22:E22)/F22</f>
        <v>0.14831348289958024</v>
      </c>
      <c r="H22" s="6">
        <f t="shared" ref="H22:K25" si="1">10^((F6-$M$16)/$L$16)</f>
        <v>11210.18254852955</v>
      </c>
      <c r="I22" s="6">
        <f t="shared" si="1"/>
        <v>10867.175079813707</v>
      </c>
      <c r="J22" s="6">
        <f t="shared" si="1"/>
        <v>12473.600797353298</v>
      </c>
      <c r="K22" s="6">
        <f t="shared" si="1"/>
        <v>14077.21600237267</v>
      </c>
      <c r="L22" s="6">
        <f>AVERAGE(H22:K22)</f>
        <v>12157.043607017305</v>
      </c>
      <c r="M22" s="8">
        <f>_xlfn.STDEV.S(H22:K22) / L22</f>
        <v>0.11965074103219189</v>
      </c>
      <c r="N22" s="6">
        <f>F22/L22</f>
        <v>18.412335949431874</v>
      </c>
      <c r="O22" s="10">
        <f>SQRT(G22^2+M22^2) * N22</f>
        <v>3.5086583830820359</v>
      </c>
    </row>
    <row r="23" spans="1:15" x14ac:dyDescent="0.2">
      <c r="A23" s="7" t="s">
        <v>23</v>
      </c>
      <c r="B23" s="6">
        <f t="shared" si="0"/>
        <v>81261.143668066114</v>
      </c>
      <c r="C23" s="6">
        <f t="shared" si="0"/>
        <v>67514.465449874915</v>
      </c>
      <c r="D23" s="6">
        <f t="shared" si="0"/>
        <v>70638.998304718232</v>
      </c>
      <c r="E23" s="6">
        <f t="shared" si="0"/>
        <v>73940.371305316279</v>
      </c>
      <c r="F23" s="6">
        <f>AVERAGE(B23:E23)</f>
        <v>73338.744681993878</v>
      </c>
      <c r="G23" s="8">
        <f>_xlfn.STDEV.S(B23:E23)/F23</f>
        <v>8.0412863913144006E-2</v>
      </c>
      <c r="H23" s="6">
        <f t="shared" si="1"/>
        <v>4489.5344143701323</v>
      </c>
      <c r="I23" s="6">
        <f t="shared" si="1"/>
        <v>4310.0014942614653</v>
      </c>
      <c r="J23" s="6">
        <f t="shared" si="1"/>
        <v>4039.7639012786221</v>
      </c>
      <c r="K23" s="6">
        <f t="shared" si="1"/>
        <v>6022.1604920629361</v>
      </c>
      <c r="L23" s="6">
        <f>AVERAGE(H23:K23)</f>
        <v>4715.3650754932896</v>
      </c>
      <c r="M23" s="8">
        <f>_xlfn.STDEV.S(H23:J23) / L23</f>
        <v>4.8014200328991133E-2</v>
      </c>
      <c r="N23" s="6">
        <f>F23/L23</f>
        <v>15.553142441324477</v>
      </c>
      <c r="O23" s="10">
        <f>SQRT(G23^2+M23^2) * N23</f>
        <v>1.4566572130313744</v>
      </c>
    </row>
    <row r="24" spans="1:15" x14ac:dyDescent="0.2">
      <c r="A24" s="7" t="s">
        <v>24</v>
      </c>
      <c r="B24" s="6">
        <f t="shared" si="0"/>
        <v>106459.28197737203</v>
      </c>
      <c r="C24" s="6">
        <f t="shared" si="0"/>
        <v>107962.18257125933</v>
      </c>
      <c r="D24" s="6">
        <f t="shared" si="0"/>
        <v>129513.64590859113</v>
      </c>
      <c r="E24" s="6">
        <f t="shared" si="0"/>
        <v>132389.72503644164</v>
      </c>
      <c r="F24" s="6">
        <f>AVERAGE(B24:D24)</f>
        <v>114645.03681907414</v>
      </c>
      <c r="G24" s="8">
        <f>_xlfn.STDEV.S(B24:E24)/F24</f>
        <v>0.12011613998974716</v>
      </c>
      <c r="H24" s="6">
        <f t="shared" si="1"/>
        <v>5270.4860777769036</v>
      </c>
      <c r="I24" s="6">
        <f t="shared" si="1"/>
        <v>5041.2932743338952</v>
      </c>
      <c r="J24" s="6">
        <f t="shared" si="1"/>
        <v>7317.6259645076825</v>
      </c>
      <c r="K24" s="6">
        <f t="shared" si="1"/>
        <v>7936.975589194396</v>
      </c>
      <c r="L24" s="6">
        <f>AVERAGE(H24:K24)</f>
        <v>6391.5952264532198</v>
      </c>
      <c r="M24" s="8">
        <f>_xlfn.STDEV.S(J24:K24) / L24</f>
        <v>6.8519094846427001E-2</v>
      </c>
      <c r="N24" s="6">
        <f>F24/L24</f>
        <v>17.936842487238071</v>
      </c>
      <c r="O24" s="10">
        <f>SQRT(G24^2+M24^2) * N24</f>
        <v>2.4803970558457764</v>
      </c>
    </row>
    <row r="25" spans="1:15" x14ac:dyDescent="0.2">
      <c r="A25" s="7" t="s">
        <v>25</v>
      </c>
      <c r="B25" s="6">
        <f t="shared" si="0"/>
        <v>35205.293653170447</v>
      </c>
      <c r="C25" s="6">
        <f t="shared" si="0"/>
        <v>37605.699440841083</v>
      </c>
      <c r="D25" s="6">
        <f t="shared" si="0"/>
        <v>35121.250607257069</v>
      </c>
      <c r="E25" s="6">
        <f t="shared" si="0"/>
        <v>41629.16970725319</v>
      </c>
      <c r="F25" s="6">
        <f>AVERAGE(B25:E25)</f>
        <v>37390.353352130449</v>
      </c>
      <c r="G25" s="8">
        <f>_xlfn.STDEV.S(B25:E25)/F25</f>
        <v>8.1615310934034083E-2</v>
      </c>
      <c r="H25" s="6">
        <f t="shared" si="1"/>
        <v>5710.3807390894026</v>
      </c>
      <c r="I25" s="6">
        <f t="shared" si="1"/>
        <v>7224.3883346210814</v>
      </c>
      <c r="J25" s="6">
        <f t="shared" si="1"/>
        <v>10375.695388277743</v>
      </c>
      <c r="K25" s="6">
        <f t="shared" si="1"/>
        <v>7999.9581680136807</v>
      </c>
      <c r="L25" s="6">
        <f>AVERAGE(H25:K25)</f>
        <v>7827.6056575004768</v>
      </c>
      <c r="M25" s="8">
        <f>_xlfn.STDEV.S(I25:K25) / L25</f>
        <v>0.20976643619256821</v>
      </c>
      <c r="N25" s="6">
        <f>F25/L25</f>
        <v>4.7767293075504771</v>
      </c>
      <c r="O25" s="10">
        <f>SQRT(G25^2+M25^2) * N25</f>
        <v>1.0751675643266398</v>
      </c>
    </row>
    <row r="29" spans="1:15" ht="24" x14ac:dyDescent="0.2">
      <c r="H29" s="11" t="s">
        <v>26</v>
      </c>
    </row>
    <row r="30" spans="1:15" x14ac:dyDescent="0.2">
      <c r="H30" s="2" t="s">
        <v>27</v>
      </c>
      <c r="I30" s="2">
        <v>0.05</v>
      </c>
    </row>
    <row r="31" spans="1:15" x14ac:dyDescent="0.2">
      <c r="B31" s="2">
        <f t="shared" ref="B31:E34" si="2">B22 / H22</f>
        <v>18.592779812180055</v>
      </c>
      <c r="C31" s="2">
        <f t="shared" si="2"/>
        <v>18.191191510630244</v>
      </c>
      <c r="D31" s="2">
        <f t="shared" si="2"/>
        <v>21.822097755099133</v>
      </c>
      <c r="E31" s="2">
        <f t="shared" si="2"/>
        <v>15.418022238706969</v>
      </c>
    </row>
    <row r="32" spans="1:15" x14ac:dyDescent="0.2">
      <c r="B32" s="2">
        <f t="shared" si="2"/>
        <v>18.100127132997333</v>
      </c>
      <c r="C32" s="2">
        <f t="shared" si="2"/>
        <v>15.664603722241578</v>
      </c>
      <c r="D32" s="2">
        <f t="shared" si="2"/>
        <v>17.485922452636487</v>
      </c>
      <c r="E32" s="2">
        <f t="shared" si="2"/>
        <v>12.278047289302224</v>
      </c>
      <c r="H32" s="21" t="s">
        <v>28</v>
      </c>
      <c r="I32" s="21" t="s">
        <v>29</v>
      </c>
      <c r="J32" s="21" t="s">
        <v>30</v>
      </c>
      <c r="K32" s="21" t="s">
        <v>18</v>
      </c>
      <c r="L32" s="21" t="s">
        <v>31</v>
      </c>
    </row>
    <row r="33" spans="1:14" x14ac:dyDescent="0.2">
      <c r="A33" s="14"/>
      <c r="B33" s="2">
        <f t="shared" si="2"/>
        <v>20.199139207721171</v>
      </c>
      <c r="C33" s="2">
        <f t="shared" si="2"/>
        <v>21.41557269062557</v>
      </c>
      <c r="D33" s="2">
        <f t="shared" si="2"/>
        <v>17.698861152068272</v>
      </c>
      <c r="E33" s="2">
        <f t="shared" si="2"/>
        <v>16.680122491075874</v>
      </c>
      <c r="H33" s="2" t="s">
        <v>32</v>
      </c>
      <c r="I33" s="2">
        <f>COUNT('a-FSH'!$B$31:$E$31)</f>
        <v>4</v>
      </c>
      <c r="J33" s="2">
        <f>SUM('a-FSH'!$B$31:$E$31)</f>
        <v>74.024091316616406</v>
      </c>
      <c r="K33" s="2">
        <f>AVERAGE('a-FSH'!$B$31:$E$31)</f>
        <v>18.506022829154102</v>
      </c>
      <c r="L33" s="2">
        <f>VAR('a-FSH'!$B$31:$E$31)</f>
        <v>6.8795820314367875</v>
      </c>
      <c r="M33" s="2">
        <f>AVERAGE(L33:L36)</f>
        <v>4.9636682456487558</v>
      </c>
    </row>
    <row r="34" spans="1:14" x14ac:dyDescent="0.2">
      <c r="B34" s="2">
        <f t="shared" si="2"/>
        <v>6.1651394647258506</v>
      </c>
      <c r="C34" s="2">
        <f t="shared" si="2"/>
        <v>5.2053817844515828</v>
      </c>
      <c r="D34" s="2">
        <f t="shared" si="2"/>
        <v>3.3849539036136669</v>
      </c>
      <c r="E34" s="2">
        <f t="shared" si="2"/>
        <v>5.2036734234060811</v>
      </c>
      <c r="H34" s="2" t="s">
        <v>33</v>
      </c>
      <c r="I34" s="2">
        <f>COUNT('a-FSH'!$B$32:$E$32)</f>
        <v>4</v>
      </c>
      <c r="J34" s="2">
        <f>SUM('a-FSH'!$B$32:$E$32)</f>
        <v>63.528700597177618</v>
      </c>
      <c r="K34" s="2">
        <f>AVERAGE('a-FSH'!$B$32:$E$32)</f>
        <v>15.882175149294405</v>
      </c>
      <c r="L34" s="2">
        <f>VAR('a-FSH'!$B$32:$E$32)</f>
        <v>6.8427971240101515</v>
      </c>
    </row>
    <row r="35" spans="1:14" x14ac:dyDescent="0.2">
      <c r="C35" s="4"/>
      <c r="H35" s="2" t="s">
        <v>34</v>
      </c>
      <c r="I35" s="2">
        <f>COUNT('a-FSH'!$B$33:$E$33)</f>
        <v>4</v>
      </c>
      <c r="J35" s="2">
        <f>SUM('a-FSH'!$B$33:$E$33)</f>
        <v>75.993695541490894</v>
      </c>
      <c r="K35" s="2">
        <f>AVERAGE('a-FSH'!$B$33:$E$33)</f>
        <v>18.998423885372723</v>
      </c>
      <c r="L35" s="2">
        <f>VAR('a-FSH'!$B$33:$E$33)</f>
        <v>4.7825700948833507</v>
      </c>
    </row>
    <row r="36" spans="1:14" x14ac:dyDescent="0.2">
      <c r="H36" s="22" t="s">
        <v>35</v>
      </c>
      <c r="I36" s="22">
        <f>COUNT('a-FSH'!$B$34:$E$34)</f>
        <v>4</v>
      </c>
      <c r="J36" s="22">
        <f>SUM('a-FSH'!$B$34:$E$34)</f>
        <v>19.95914857619718</v>
      </c>
      <c r="K36" s="22">
        <f>AVERAGE('a-FSH'!$B$34:$E$34)</f>
        <v>4.9897871440492949</v>
      </c>
      <c r="L36" s="22">
        <f>VAR('a-FSH'!$B$34:$E$34)</f>
        <v>1.3497237322647304</v>
      </c>
    </row>
    <row r="37" spans="1:14" x14ac:dyDescent="0.2">
      <c r="A37" s="16"/>
    </row>
    <row r="38" spans="1:14" ht="24" x14ac:dyDescent="0.2">
      <c r="A38" s="16"/>
      <c r="H38" s="2" t="s">
        <v>36</v>
      </c>
      <c r="I38" s="2" t="s">
        <v>37</v>
      </c>
      <c r="J38" s="2" t="s">
        <v>38</v>
      </c>
      <c r="K38" s="2" t="s">
        <v>39</v>
      </c>
      <c r="L38" s="2" t="s">
        <v>5</v>
      </c>
      <c r="M38" s="2" t="s">
        <v>40</v>
      </c>
      <c r="N38" s="2" t="s">
        <v>41</v>
      </c>
    </row>
    <row r="39" spans="1:14" ht="24" x14ac:dyDescent="0.2">
      <c r="A39" s="16"/>
      <c r="H39" s="2" t="s">
        <v>42</v>
      </c>
      <c r="I39" s="2">
        <f>SUMPRODUCT('a-FSH'!$J$33:$J$36,'a-FSH'!$K$33:$K$36)-SUM('a-FSH'!$J$33:$J$36)^2/SUM('a-FSH'!$I$33:$I$36)</f>
        <v>514.41268853484507</v>
      </c>
      <c r="J39" s="2">
        <f>COUNT('a-FSH'!$J$33:$J$36)-1</f>
        <v>3</v>
      </c>
      <c r="K39" s="2">
        <f>'a-FSH'!$I$39 / 'a-FSH'!$J$39</f>
        <v>171.47089617828169</v>
      </c>
      <c r="L39" s="2">
        <f>'a-FSH'!$K$39 / 'a-FSH'!$K$40</f>
        <v>34.545196756168473</v>
      </c>
      <c r="M39" s="2">
        <f>FDIST('a-FSH'!$L$39, 'a-FSH'!$J$39, 'a-FSH'!$J$40)</f>
        <v>3.4958620702971884E-6</v>
      </c>
      <c r="N39" s="2">
        <f>FINV('a-FSH'!$I$30, 'a-FSH'!$J$39, 'a-FSH'!$J$40)</f>
        <v>3.4902948194976045</v>
      </c>
    </row>
    <row r="40" spans="1:14" ht="24" x14ac:dyDescent="0.2">
      <c r="H40" s="21" t="s">
        <v>43</v>
      </c>
      <c r="I40" s="21">
        <f>SUM(DEVSQ('a-FSH'!$B$31:$E$31),DEVSQ('a-FSH'!$B$32:$E$32),DEVSQ('a-FSH'!$B$33:$E$33),DEVSQ('a-FSH'!$B$34:$E$34))</f>
        <v>59.564018947785016</v>
      </c>
      <c r="J40" s="21">
        <f>SUM('a-FSH'!$I$33:$I$36)-COUNT('a-FSH'!$I$33:$I$36)</f>
        <v>12</v>
      </c>
      <c r="K40" s="21">
        <f>'a-FSH'!$I$40 / 'a-FSH'!$J$40</f>
        <v>4.9636682456487513</v>
      </c>
      <c r="L40" s="21"/>
      <c r="M40" s="21"/>
      <c r="N40" s="21"/>
    </row>
    <row r="41" spans="1:14" x14ac:dyDescent="0.2">
      <c r="H41" s="2" t="s">
        <v>44</v>
      </c>
      <c r="I41" s="2">
        <f>DEVSQ('a-FSH'!$B$31:$E$31,'a-FSH'!$B$32:$E$32,'a-FSH'!$B$33:$E$33,'a-FSH'!$B$34:$E$34)</f>
        <v>573.97670748262976</v>
      </c>
      <c r="J41" s="2">
        <f>SUM('a-FSH'!$I$33:$I$36) - 1</f>
        <v>15</v>
      </c>
    </row>
    <row r="43" spans="1:14" ht="24" x14ac:dyDescent="0.2">
      <c r="H43" s="2" t="s">
        <v>28</v>
      </c>
      <c r="I43" s="2" t="s">
        <v>45</v>
      </c>
      <c r="J43" s="2" t="s">
        <v>46</v>
      </c>
      <c r="K43" s="2" t="s">
        <v>47</v>
      </c>
    </row>
    <row r="44" spans="1:14" x14ac:dyDescent="0.2">
      <c r="H44" s="2" t="s">
        <v>51</v>
      </c>
      <c r="I44" s="2">
        <f>ABS(K33 - K34)</f>
        <v>2.623847679859697</v>
      </c>
      <c r="J44" s="12">
        <f>$J$51 * (SQRT($M$33/4))</f>
        <v>4.6786511906008776</v>
      </c>
      <c r="K44" s="12">
        <f t="shared" ref="K44:K49" si="3">IF(I44&gt;$J$44, 1, 0)</f>
        <v>0</v>
      </c>
      <c r="L44" s="22"/>
      <c r="M44" s="22"/>
      <c r="N44" s="22"/>
    </row>
    <row r="45" spans="1:14" x14ac:dyDescent="0.2">
      <c r="H45" s="2" t="s">
        <v>52</v>
      </c>
      <c r="I45" s="2">
        <f>ABS(K33 - K35)</f>
        <v>0.49240105621862185</v>
      </c>
      <c r="J45" s="12"/>
      <c r="K45" s="12">
        <f t="shared" si="3"/>
        <v>0</v>
      </c>
    </row>
    <row r="46" spans="1:14" x14ac:dyDescent="0.2">
      <c r="H46" s="2" t="s">
        <v>53</v>
      </c>
      <c r="I46" s="2">
        <f>ABS(K33 - K36)</f>
        <v>13.516235685104807</v>
      </c>
      <c r="J46" s="12"/>
      <c r="K46" s="12">
        <f t="shared" si="3"/>
        <v>1</v>
      </c>
    </row>
    <row r="47" spans="1:14" x14ac:dyDescent="0.2">
      <c r="H47" s="2" t="s">
        <v>54</v>
      </c>
      <c r="I47" s="2">
        <f>ABS(K34 - K35)</f>
        <v>3.1162487360783189</v>
      </c>
      <c r="J47" s="12"/>
      <c r="K47" s="12">
        <f t="shared" si="3"/>
        <v>0</v>
      </c>
    </row>
    <row r="48" spans="1:14" x14ac:dyDescent="0.2">
      <c r="H48" s="2" t="s">
        <v>55</v>
      </c>
      <c r="I48" s="2">
        <f>ABS(K34 - K36)</f>
        <v>10.89238800524511</v>
      </c>
      <c r="J48" s="12"/>
      <c r="K48" s="12">
        <f t="shared" si="3"/>
        <v>1</v>
      </c>
    </row>
    <row r="49" spans="1:11" x14ac:dyDescent="0.2">
      <c r="B49" s="5"/>
      <c r="H49" s="2" t="s">
        <v>56</v>
      </c>
      <c r="I49" s="2">
        <f>ABS(K35 - K36)</f>
        <v>14.008636741323429</v>
      </c>
      <c r="J49" s="12"/>
      <c r="K49" s="12">
        <f t="shared" si="3"/>
        <v>1</v>
      </c>
    </row>
    <row r="50" spans="1:11" x14ac:dyDescent="0.2">
      <c r="A50" s="16"/>
      <c r="B50" s="5"/>
    </row>
    <row r="51" spans="1:11" x14ac:dyDescent="0.2">
      <c r="A51" s="16"/>
      <c r="B51" s="5"/>
      <c r="J51" s="2">
        <v>4.2</v>
      </c>
    </row>
    <row r="52" spans="1:11" x14ac:dyDescent="0.2">
      <c r="A52" s="16"/>
      <c r="B52" s="5"/>
    </row>
    <row r="53" spans="1:11" x14ac:dyDescent="0.2">
      <c r="B53" s="5"/>
    </row>
    <row r="54" spans="1:11" x14ac:dyDescent="0.2">
      <c r="B54" s="5"/>
      <c r="J54" s="25"/>
    </row>
    <row r="55" spans="1:11" x14ac:dyDescent="0.2">
      <c r="B55" s="5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opLeftCell="A31" zoomScale="110" zoomScaleNormal="110" workbookViewId="0">
      <selection activeCell="K11" sqref="K11"/>
    </sheetView>
  </sheetViews>
  <sheetFormatPr defaultColWidth="11.5703125" defaultRowHeight="12.75" x14ac:dyDescent="0.2"/>
  <cols>
    <col min="1" max="1024" width="11.5703125" style="2"/>
  </cols>
  <sheetData>
    <row r="1" spans="1:13" x14ac:dyDescent="0.2">
      <c r="A1" s="6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</row>
    <row r="2" spans="1:13" x14ac:dyDescent="0.2">
      <c r="A2" s="6" t="s">
        <v>0</v>
      </c>
      <c r="B2" s="6">
        <v>26.682144165039102</v>
      </c>
      <c r="C2" s="6">
        <v>26.6568927764893</v>
      </c>
      <c r="D2" s="6">
        <v>26.705919265747099</v>
      </c>
      <c r="E2" s="6">
        <v>26.634271621704102</v>
      </c>
      <c r="F2" s="6">
        <v>24.9684238433838</v>
      </c>
      <c r="G2" s="6">
        <v>24.943412780761701</v>
      </c>
      <c r="H2" s="6">
        <v>24.907819747924801</v>
      </c>
      <c r="I2" s="6">
        <v>24.9706020355225</v>
      </c>
    </row>
    <row r="3" spans="1:13" x14ac:dyDescent="0.2">
      <c r="A3" s="6" t="s">
        <v>1</v>
      </c>
      <c r="B3" s="6">
        <v>29.261268615722699</v>
      </c>
      <c r="C3" s="6">
        <v>29.069982528686499</v>
      </c>
      <c r="D3" s="6">
        <v>28.859289169311499</v>
      </c>
      <c r="E3" s="6">
        <v>29.431278228759801</v>
      </c>
      <c r="F3" s="6">
        <v>24.765609741210898</v>
      </c>
      <c r="G3" s="6">
        <v>25.1032104492187</v>
      </c>
      <c r="H3" s="6">
        <v>25.076154708862301</v>
      </c>
      <c r="I3" s="6">
        <v>24.938552856445298</v>
      </c>
    </row>
    <row r="4" spans="1:13" x14ac:dyDescent="0.2">
      <c r="A4" s="6" t="s">
        <v>2</v>
      </c>
      <c r="B4" s="6">
        <v>30.963176727294901</v>
      </c>
      <c r="C4" s="6">
        <v>30.851499557495099</v>
      </c>
      <c r="D4" s="6">
        <v>30.4816989898682</v>
      </c>
      <c r="E4" s="6">
        <v>29.818508148193398</v>
      </c>
      <c r="F4" s="6">
        <v>25.034378051757798</v>
      </c>
      <c r="G4" s="6">
        <v>25.207628250122099</v>
      </c>
      <c r="H4" s="6">
        <v>24.962120056152301</v>
      </c>
      <c r="I4" s="6">
        <v>24.887264251708999</v>
      </c>
    </row>
    <row r="5" spans="1:13" x14ac:dyDescent="0.2">
      <c r="A5" s="6" t="s">
        <v>3</v>
      </c>
      <c r="B5" s="6">
        <v>33.830772399902301</v>
      </c>
      <c r="C5" s="6">
        <v>32.392856597900398</v>
      </c>
      <c r="D5" s="6">
        <v>32.506118774414098</v>
      </c>
      <c r="E5" s="6">
        <v>32.695278167724602</v>
      </c>
      <c r="F5" s="6">
        <v>25.1899223327637</v>
      </c>
      <c r="G5" s="6">
        <v>25.451713562011701</v>
      </c>
      <c r="H5" s="6">
        <v>24.972761154174801</v>
      </c>
      <c r="I5" s="6">
        <v>25.170993804931602</v>
      </c>
    </row>
    <row r="6" spans="1:13" x14ac:dyDescent="0.2">
      <c r="A6" s="6" t="s">
        <v>4</v>
      </c>
      <c r="B6" s="6">
        <v>25.1046752929687</v>
      </c>
      <c r="C6" s="6">
        <v>25.278100967407202</v>
      </c>
      <c r="D6" s="6">
        <v>25.1167812347412</v>
      </c>
      <c r="E6" s="6">
        <v>25.184547424316399</v>
      </c>
      <c r="F6" s="6">
        <v>27.7426242828369</v>
      </c>
      <c r="G6" s="6">
        <v>27.6610298156738</v>
      </c>
      <c r="H6" s="6">
        <v>27.541530609130898</v>
      </c>
      <c r="I6" s="6">
        <v>27.185667037963899</v>
      </c>
    </row>
    <row r="7" spans="1:13" x14ac:dyDescent="0.2">
      <c r="A7" s="6" t="s">
        <v>5</v>
      </c>
      <c r="B7" s="6">
        <v>27.423995971679702</v>
      </c>
      <c r="C7" s="6">
        <v>27.4820461273193</v>
      </c>
      <c r="D7" s="6">
        <v>27.5711669921875</v>
      </c>
      <c r="E7" s="6">
        <v>27.695898056030298</v>
      </c>
      <c r="F7" s="6">
        <v>27.916233062744102</v>
      </c>
      <c r="G7" s="6">
        <v>27.762977600097699</v>
      </c>
      <c r="H7" s="6">
        <v>27.7648601531982</v>
      </c>
      <c r="I7" s="6">
        <v>27.459465026855501</v>
      </c>
    </row>
    <row r="8" spans="1:13" x14ac:dyDescent="0.2">
      <c r="A8" s="6" t="s">
        <v>7</v>
      </c>
      <c r="B8" s="6">
        <v>29.874923706054702</v>
      </c>
      <c r="C8" s="6">
        <v>29.701011657714801</v>
      </c>
      <c r="D8" s="6">
        <v>29.414758682251001</v>
      </c>
      <c r="E8" s="6">
        <v>29.9847297668457</v>
      </c>
      <c r="F8" s="6">
        <v>27.686323165893601</v>
      </c>
      <c r="G8" s="6">
        <v>27.532701492309599</v>
      </c>
      <c r="H8" s="6">
        <v>27.494592666626001</v>
      </c>
      <c r="I8" s="6">
        <v>27.283941268920898</v>
      </c>
    </row>
    <row r="9" spans="1:13" x14ac:dyDescent="0.2">
      <c r="A9" s="6" t="s">
        <v>8</v>
      </c>
      <c r="B9" s="6">
        <v>32.552452087402301</v>
      </c>
      <c r="C9" s="6">
        <v>32.133743286132798</v>
      </c>
      <c r="D9" s="6">
        <v>32.310661315917997</v>
      </c>
      <c r="E9" s="6">
        <v>32.788383483886697</v>
      </c>
      <c r="F9" s="6">
        <v>27.3789958953857</v>
      </c>
      <c r="G9" s="6">
        <v>27.918210983276399</v>
      </c>
      <c r="H9" s="6">
        <v>27.697961807251001</v>
      </c>
      <c r="I9" s="6" t="s">
        <v>6</v>
      </c>
    </row>
    <row r="12" spans="1:13" x14ac:dyDescent="0.2">
      <c r="B12" s="6" t="s">
        <v>9</v>
      </c>
      <c r="C12" s="6" t="s">
        <v>10</v>
      </c>
      <c r="D12" s="6" t="s">
        <v>49</v>
      </c>
      <c r="E12" s="6" t="s">
        <v>50</v>
      </c>
      <c r="F12" s="6" t="s">
        <v>9</v>
      </c>
      <c r="G12" s="6" t="s">
        <v>10</v>
      </c>
      <c r="H12" s="6" t="s">
        <v>13</v>
      </c>
      <c r="I12" s="6" t="s">
        <v>14</v>
      </c>
    </row>
    <row r="13" spans="1:13" x14ac:dyDescent="0.2">
      <c r="B13" s="6">
        <v>40063.74</v>
      </c>
      <c r="C13" s="6">
        <f>LOG(B13)</f>
        <v>4.6027514887804868</v>
      </c>
      <c r="D13" s="6">
        <f>AVERAGE(B2:E2)</f>
        <v>26.669806957244901</v>
      </c>
      <c r="E13" s="6">
        <f>_xlfn.STDEV.S(B2:E2)/D13</f>
        <v>1.1629358254687486E-3</v>
      </c>
      <c r="F13" s="6">
        <v>80060.210000000006</v>
      </c>
      <c r="G13" s="6">
        <f>LOG(F13)</f>
        <v>4.903416724936231</v>
      </c>
      <c r="H13" s="6">
        <f>AVERAGE(B6:E6)</f>
        <v>25.171026229858377</v>
      </c>
      <c r="I13" s="6">
        <f>_xlfn.STDEV.S(B6:E6)/H13</f>
        <v>3.161060557064329E-3</v>
      </c>
    </row>
    <row r="14" spans="1:13" x14ac:dyDescent="0.2">
      <c r="B14" s="6">
        <v>8012.75</v>
      </c>
      <c r="C14" s="6">
        <f>LOG(B14)</f>
        <v>3.9037815928453381</v>
      </c>
      <c r="D14" s="6">
        <f>AVERAGE(B3:E3)</f>
        <v>29.155454635620124</v>
      </c>
      <c r="E14" s="6">
        <f>_xlfn.STDEV.S(B3:E3)/D14</f>
        <v>8.4548634226559085E-3</v>
      </c>
      <c r="F14" s="6">
        <v>16012.04</v>
      </c>
      <c r="G14" s="6">
        <f>LOG(F14)</f>
        <v>4.204446666354225</v>
      </c>
      <c r="H14" s="6">
        <f>AVERAGE(B7:E7)</f>
        <v>27.543276786804199</v>
      </c>
      <c r="I14" s="6">
        <f>_xlfn.STDEV.S(B7:E7)/H14</f>
        <v>4.2983085124980846E-3</v>
      </c>
    </row>
    <row r="15" spans="1:13" x14ac:dyDescent="0.2">
      <c r="B15" s="6">
        <v>1602.55</v>
      </c>
      <c r="C15" s="6">
        <f>LOG(B15)</f>
        <v>3.2048115885093194</v>
      </c>
      <c r="D15" s="6">
        <f>AVERAGE(B4:E4)</f>
        <v>30.528720855712901</v>
      </c>
      <c r="E15" s="6">
        <f>_xlfn.STDEV.S(B4:E4)/D15</f>
        <v>1.6910400301943771E-2</v>
      </c>
      <c r="F15" s="6">
        <v>3202.41</v>
      </c>
      <c r="G15" s="6">
        <f>LOG(F15)</f>
        <v>3.5054769332480724</v>
      </c>
      <c r="H15" s="6">
        <f>AVERAGE(B8:E8)</f>
        <v>29.743855953216553</v>
      </c>
      <c r="I15" s="6">
        <f>_xlfn.STDEV.S(B8:E8)/H15</f>
        <v>8.3565345101872142E-3</v>
      </c>
    </row>
    <row r="16" spans="1:13" x14ac:dyDescent="0.2">
      <c r="B16" s="6">
        <v>320.51</v>
      </c>
      <c r="C16" s="6">
        <f>LOG(B16)</f>
        <v>2.5058415841733006</v>
      </c>
      <c r="D16" s="6">
        <f>AVERAGE(B5:E5)</f>
        <v>32.856256484985352</v>
      </c>
      <c r="E16" s="6">
        <f>_xlfn.STDEV.S(B5:E5)/D16</f>
        <v>2.0134565876230984E-2</v>
      </c>
      <c r="F16" s="6">
        <v>640.48</v>
      </c>
      <c r="G16" s="6">
        <f>LOG(F16)</f>
        <v>2.8065055727610297</v>
      </c>
      <c r="H16" s="6">
        <f>AVERAGE(B9:E9)</f>
        <v>32.446310043334947</v>
      </c>
      <c r="I16" s="6">
        <f>_xlfn.STDEV.S(B9:E9)/H16</f>
        <v>8.7964195647996096E-3</v>
      </c>
      <c r="K16" s="2" t="s">
        <v>15</v>
      </c>
      <c r="L16" s="2">
        <v>-3.43</v>
      </c>
      <c r="M16" s="2">
        <v>41.98</v>
      </c>
    </row>
    <row r="17" spans="1:15" x14ac:dyDescent="0.2">
      <c r="B17" s="26"/>
      <c r="C17" s="22"/>
      <c r="D17" s="22"/>
      <c r="E17" s="22"/>
      <c r="F17" s="27"/>
      <c r="G17" s="22"/>
      <c r="H17" s="22"/>
      <c r="I17" s="22"/>
      <c r="K17" s="2" t="s">
        <v>16</v>
      </c>
      <c r="L17" s="2">
        <v>-2.85</v>
      </c>
      <c r="M17" s="2">
        <v>39.94</v>
      </c>
    </row>
    <row r="18" spans="1:15" x14ac:dyDescent="0.2">
      <c r="B18" s="5"/>
    </row>
    <row r="20" spans="1:1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24" x14ac:dyDescent="0.2">
      <c r="A21" s="6" t="s">
        <v>17</v>
      </c>
      <c r="B21" s="6" t="s">
        <v>10</v>
      </c>
      <c r="C21" s="6" t="s">
        <v>10</v>
      </c>
      <c r="D21" s="6" t="s">
        <v>10</v>
      </c>
      <c r="E21" s="6" t="s">
        <v>10</v>
      </c>
      <c r="F21" s="6" t="s">
        <v>18</v>
      </c>
      <c r="G21" s="6" t="s">
        <v>19</v>
      </c>
      <c r="H21" s="6" t="s">
        <v>10</v>
      </c>
      <c r="I21" s="6" t="s">
        <v>10</v>
      </c>
      <c r="J21" s="6" t="s">
        <v>10</v>
      </c>
      <c r="K21" s="6" t="s">
        <v>10</v>
      </c>
      <c r="L21" s="6" t="s">
        <v>18</v>
      </c>
      <c r="M21" s="6" t="s">
        <v>19</v>
      </c>
      <c r="N21" s="6" t="s">
        <v>20</v>
      </c>
      <c r="O21" s="6" t="s">
        <v>21</v>
      </c>
    </row>
    <row r="22" spans="1:15" x14ac:dyDescent="0.2">
      <c r="A22" s="7" t="s">
        <v>22</v>
      </c>
      <c r="B22" s="6">
        <f t="shared" ref="B22:E25" si="0">10^((F2-$M$17)/$L$17)</f>
        <v>179136.71932082268</v>
      </c>
      <c r="C22" s="6">
        <f t="shared" si="0"/>
        <v>182793.36502540961</v>
      </c>
      <c r="D22" s="6">
        <f t="shared" si="0"/>
        <v>188126.16884371437</v>
      </c>
      <c r="E22" s="6">
        <f t="shared" si="0"/>
        <v>178821.74906120208</v>
      </c>
      <c r="F22" s="6">
        <f>AVERAGE(B22:E22)</f>
        <v>182219.50056278717</v>
      </c>
      <c r="G22" s="8">
        <f>_xlfn.STDEV.S(B22:E22)/F22</f>
        <v>2.3766691163168038E-2</v>
      </c>
      <c r="H22" s="6">
        <f t="shared" ref="H22:K24" si="1">10^((F6-$M$16)/$L$16)</f>
        <v>14152.670691819307</v>
      </c>
      <c r="I22" s="6">
        <f t="shared" si="1"/>
        <v>14949.507172904925</v>
      </c>
      <c r="J22" s="6">
        <f t="shared" si="1"/>
        <v>16198.182760804686</v>
      </c>
      <c r="K22" s="6">
        <f t="shared" si="1"/>
        <v>20569.16239643217</v>
      </c>
      <c r="L22" s="6">
        <f>AVERAGE(H22:K22)</f>
        <v>16467.380755490274</v>
      </c>
      <c r="M22" s="6">
        <f>_xlfn.STDEV.S(H22:K22) / L22</f>
        <v>0.17374780548975943</v>
      </c>
      <c r="N22" s="6">
        <f>F22/L22</f>
        <v>11.06548171007916</v>
      </c>
      <c r="O22" s="10">
        <f>SQRT(G22^2+M22^2) * N22</f>
        <v>1.9405067909802873</v>
      </c>
    </row>
    <row r="23" spans="1:15" x14ac:dyDescent="0.2">
      <c r="A23" s="7" t="s">
        <v>23</v>
      </c>
      <c r="B23" s="6">
        <f t="shared" si="0"/>
        <v>211031.58422590641</v>
      </c>
      <c r="C23" s="6">
        <f t="shared" si="0"/>
        <v>160653.82512589532</v>
      </c>
      <c r="D23" s="6">
        <f t="shared" si="0"/>
        <v>164204.21943778076</v>
      </c>
      <c r="E23" s="6">
        <f t="shared" si="0"/>
        <v>183512.50537988907</v>
      </c>
      <c r="F23" s="6">
        <f>AVERAGE(B23:E23)</f>
        <v>179850.53354236789</v>
      </c>
      <c r="G23" s="8">
        <f>_xlfn.STDEV.S(B23:E23)/F23</f>
        <v>0.12836609858249118</v>
      </c>
      <c r="H23" s="6">
        <f t="shared" si="1"/>
        <v>12595.737374486145</v>
      </c>
      <c r="I23" s="6">
        <f t="shared" si="1"/>
        <v>13960.613048799369</v>
      </c>
      <c r="J23" s="6">
        <f t="shared" si="1"/>
        <v>13942.981157583014</v>
      </c>
      <c r="K23" s="6">
        <f t="shared" si="1"/>
        <v>17115.599692431231</v>
      </c>
      <c r="L23" s="6">
        <f>AVERAGE(H23:K23)</f>
        <v>14403.732818324941</v>
      </c>
      <c r="M23" s="6">
        <f>_xlfn.STDEV.S(H23:K23) / L23</f>
        <v>0.13313304517925431</v>
      </c>
      <c r="N23" s="6">
        <f>F23/L23</f>
        <v>12.486383620887194</v>
      </c>
      <c r="O23" s="10">
        <f>SQRT(G23^2+M23^2) * N23</f>
        <v>2.3092135366966895</v>
      </c>
    </row>
    <row r="24" spans="1:15" x14ac:dyDescent="0.2">
      <c r="A24" s="7" t="s">
        <v>24</v>
      </c>
      <c r="B24" s="6">
        <f t="shared" si="0"/>
        <v>169841.09801333983</v>
      </c>
      <c r="C24" s="6">
        <f t="shared" si="0"/>
        <v>147656.72974377079</v>
      </c>
      <c r="D24" s="6">
        <f t="shared" si="0"/>
        <v>180051.38711614645</v>
      </c>
      <c r="E24" s="6">
        <f t="shared" si="0"/>
        <v>191276.52187104666</v>
      </c>
      <c r="F24" s="6">
        <f>AVERAGE(B24:D24)</f>
        <v>165849.73829108567</v>
      </c>
      <c r="G24" s="8">
        <f>_xlfn.STDEV.S(B24:E24)/F24</f>
        <v>0.11191250892636444</v>
      </c>
      <c r="H24" s="6">
        <f t="shared" si="1"/>
        <v>14697.813127101088</v>
      </c>
      <c r="I24" s="6">
        <f t="shared" si="1"/>
        <v>16294.47533691177</v>
      </c>
      <c r="J24" s="6">
        <f t="shared" si="1"/>
        <v>16716.710678721516</v>
      </c>
      <c r="K24" s="6">
        <f t="shared" si="1"/>
        <v>19255.962332325151</v>
      </c>
      <c r="L24" s="6">
        <f>AVERAGE(H24:K24)</f>
        <v>16741.240368764884</v>
      </c>
      <c r="M24" s="6">
        <f>_xlfn.STDEV.S(H24:K24) / L24</f>
        <v>0.11280697698919857</v>
      </c>
      <c r="N24" s="6">
        <f>F24/L24</f>
        <v>9.9066577289291704</v>
      </c>
      <c r="O24" s="10">
        <f>SQRT(G24^2+M24^2) * N24</f>
        <v>1.5741870440084378</v>
      </c>
    </row>
    <row r="25" spans="1:15" x14ac:dyDescent="0.2">
      <c r="A25" s="7" t="s">
        <v>25</v>
      </c>
      <c r="B25" s="6">
        <f t="shared" si="0"/>
        <v>149784.14618552485</v>
      </c>
      <c r="C25" s="6">
        <f t="shared" si="0"/>
        <v>121229.76868184718</v>
      </c>
      <c r="D25" s="6">
        <f t="shared" si="0"/>
        <v>178510.08341178912</v>
      </c>
      <c r="E25" s="6">
        <f t="shared" si="0"/>
        <v>152092.37331529614</v>
      </c>
      <c r="F25" s="6">
        <f>AVERAGE(B25:E25)</f>
        <v>150404.09289861433</v>
      </c>
      <c r="G25" s="8">
        <f>_xlfn.STDEV.S(B25:E25)/F25</f>
        <v>0.15565863596404983</v>
      </c>
      <c r="H25" s="6">
        <f>10^((F9-$M$16)/$L$16)</f>
        <v>18065.604932424019</v>
      </c>
      <c r="I25" s="6">
        <f>10^((G9-$M$16)/$L$16)</f>
        <v>12579.023939758816</v>
      </c>
      <c r="J25" s="6">
        <f>10^((H9-$M$16)/$L$16)</f>
        <v>14583.424964156558</v>
      </c>
      <c r="K25" s="6"/>
      <c r="L25" s="6">
        <f>AVERAGE(H25:K25)</f>
        <v>15076.017945446465</v>
      </c>
      <c r="M25" s="6">
        <f>_xlfn.STDEV.S(H25:K25) / L25</f>
        <v>0.18415085726085639</v>
      </c>
      <c r="N25" s="6">
        <f>F25/L25</f>
        <v>9.97638059618005</v>
      </c>
      <c r="O25" s="10">
        <f>SQRT(G25^2+M25^2) * N25</f>
        <v>2.4055523623389252</v>
      </c>
    </row>
    <row r="29" spans="1:15" ht="24" x14ac:dyDescent="0.2">
      <c r="H29" s="11" t="s">
        <v>26</v>
      </c>
    </row>
    <row r="30" spans="1:15" x14ac:dyDescent="0.2">
      <c r="H30" s="2" t="s">
        <v>27</v>
      </c>
      <c r="I30" s="2">
        <v>0.05</v>
      </c>
    </row>
    <row r="31" spans="1:15" x14ac:dyDescent="0.2">
      <c r="B31" s="2">
        <f t="shared" ref="B31:E33" si="2">B22 / H22</f>
        <v>12.657449835554317</v>
      </c>
      <c r="C31" s="2">
        <f t="shared" si="2"/>
        <v>12.227384014150747</v>
      </c>
      <c r="D31" s="2">
        <f t="shared" si="2"/>
        <v>11.614029278576231</v>
      </c>
      <c r="E31" s="2">
        <f t="shared" si="2"/>
        <v>8.6936816198320095</v>
      </c>
    </row>
    <row r="32" spans="1:15" x14ac:dyDescent="0.2">
      <c r="B32" s="2">
        <f t="shared" si="2"/>
        <v>16.754206439185594</v>
      </c>
      <c r="C32" s="2">
        <f t="shared" si="2"/>
        <v>11.507648307730424</v>
      </c>
      <c r="D32" s="2">
        <f t="shared" si="2"/>
        <v>11.776837218809325</v>
      </c>
      <c r="E32" s="2">
        <f t="shared" si="2"/>
        <v>10.721944230855142</v>
      </c>
      <c r="H32" s="21" t="s">
        <v>28</v>
      </c>
      <c r="I32" s="21" t="s">
        <v>29</v>
      </c>
      <c r="J32" s="21" t="s">
        <v>30</v>
      </c>
      <c r="K32" s="21" t="s">
        <v>18</v>
      </c>
      <c r="L32" s="21" t="s">
        <v>31</v>
      </c>
    </row>
    <row r="33" spans="1:14" x14ac:dyDescent="0.2">
      <c r="A33" s="14"/>
      <c r="B33" s="2">
        <f t="shared" si="2"/>
        <v>11.555535272126454</v>
      </c>
      <c r="C33" s="2">
        <f t="shared" si="2"/>
        <v>9.061766438670471</v>
      </c>
      <c r="D33" s="2">
        <f t="shared" si="2"/>
        <v>10.770742556747813</v>
      </c>
      <c r="E33" s="2">
        <f t="shared" si="2"/>
        <v>9.9333660177528031</v>
      </c>
      <c r="H33" s="2" t="s">
        <v>32</v>
      </c>
      <c r="I33" s="2">
        <f>COUNT('a-TSH'!$B$31:$E$31)</f>
        <v>4</v>
      </c>
      <c r="J33" s="2">
        <f>SUM('a-TSH'!$B$31:$E$31)</f>
        <v>45.192544748113306</v>
      </c>
      <c r="K33" s="2">
        <f>AVERAGE('a-TSH'!$B$31:$E$31)</f>
        <v>11.298136187028327</v>
      </c>
      <c r="L33" s="2">
        <f>VAR('a-TSH'!$B$31:$E$31)</f>
        <v>3.1980690523860935</v>
      </c>
      <c r="M33" s="2">
        <f>AVERAGE(L33:L36)</f>
        <v>3.9810617055010331</v>
      </c>
    </row>
    <row r="34" spans="1:14" x14ac:dyDescent="0.2">
      <c r="B34" s="2">
        <f>B25 / H25</f>
        <v>8.2911226469196908</v>
      </c>
      <c r="C34" s="2">
        <f>C25 / I25</f>
        <v>9.6374543257425103</v>
      </c>
      <c r="D34" s="2">
        <f>D25 / J25</f>
        <v>12.240614523031104</v>
      </c>
      <c r="H34" s="2" t="s">
        <v>33</v>
      </c>
      <c r="I34" s="2">
        <f>COUNT('a-TSH'!$B$32:$E$32)</f>
        <v>4</v>
      </c>
      <c r="J34" s="2">
        <f>SUM('a-TSH'!$B$32:$E$32)</f>
        <v>50.760636196580485</v>
      </c>
      <c r="K34" s="2">
        <f>AVERAGE('a-TSH'!$B$32:$E$32)</f>
        <v>12.690159049145121</v>
      </c>
      <c r="L34" s="2">
        <f>VAR('a-TSH'!$B$32:$E$32)</f>
        <v>7.5409463929200156</v>
      </c>
    </row>
    <row r="35" spans="1:14" x14ac:dyDescent="0.2">
      <c r="C35" s="4"/>
      <c r="H35" s="2" t="s">
        <v>34</v>
      </c>
      <c r="I35" s="2">
        <f>COUNT('a-TSH'!$B$33:$E$33)</f>
        <v>4</v>
      </c>
      <c r="J35" s="2">
        <f>SUM('a-TSH'!$B$33:$E$33)</f>
        <v>41.321410285297539</v>
      </c>
      <c r="K35" s="2">
        <f>AVERAGE('a-TSH'!$B$33:$E$33)</f>
        <v>10.330352571324385</v>
      </c>
      <c r="L35" s="2">
        <f>VAR('a-TSH'!$B$33:$E$33)</f>
        <v>1.1539750297614515</v>
      </c>
    </row>
    <row r="36" spans="1:14" x14ac:dyDescent="0.2">
      <c r="H36" s="22" t="s">
        <v>35</v>
      </c>
      <c r="I36" s="22">
        <f>COUNT('a-TSH'!$B$34:$E$34)</f>
        <v>3</v>
      </c>
      <c r="J36" s="22">
        <f>SUM('a-TSH'!$B$34:$E$34)</f>
        <v>30.169191495693305</v>
      </c>
      <c r="K36" s="22">
        <f>AVERAGE('a-TSH'!$B$34:$E$34)</f>
        <v>10.056397165231102</v>
      </c>
      <c r="L36" s="22">
        <f>VAR('a-TSH'!$B$34:$E$34)</f>
        <v>4.0312563469365728</v>
      </c>
    </row>
    <row r="37" spans="1:14" x14ac:dyDescent="0.2">
      <c r="A37" s="16"/>
    </row>
    <row r="38" spans="1:14" ht="24" x14ac:dyDescent="0.2">
      <c r="A38" s="16"/>
      <c r="H38" s="2" t="s">
        <v>36</v>
      </c>
      <c r="I38" s="2" t="s">
        <v>37</v>
      </c>
      <c r="J38" s="2" t="s">
        <v>38</v>
      </c>
      <c r="K38" s="2" t="s">
        <v>39</v>
      </c>
      <c r="L38" s="2" t="s">
        <v>5</v>
      </c>
      <c r="M38" s="2" t="s">
        <v>40</v>
      </c>
      <c r="N38" s="2" t="s">
        <v>41</v>
      </c>
    </row>
    <row r="39" spans="1:14" ht="24" x14ac:dyDescent="0.2">
      <c r="A39" s="16"/>
      <c r="H39" s="2" t="s">
        <v>42</v>
      </c>
      <c r="I39" s="2">
        <f>SUMPRODUCT('a-TSH'!$J$33:$J$36,'a-TSH'!$K$33:$K$36)-SUM('a-TSH'!$J$33:$J$36)^2/SUM('a-TSH'!$I$33:$I$36)</f>
        <v>15.84882256661399</v>
      </c>
      <c r="J39" s="2">
        <f>COUNT('a-TSH'!$J$33:$J$36)-1</f>
        <v>3</v>
      </c>
      <c r="K39" s="2">
        <f>'a-TSH'!$I$39 / 'a-TSH'!$J$39</f>
        <v>5.2829408555379969</v>
      </c>
      <c r="L39" s="2">
        <f>'a-TSH'!$K$39 / 'a-TSH'!$K$40</f>
        <v>1.3285408710120765</v>
      </c>
      <c r="M39" s="24">
        <f>FDIST('a-TSH'!$L$39, 'a-TSH'!$J$39, 'a-TSH'!$J$40)</f>
        <v>0.31481995937078067</v>
      </c>
      <c r="N39" s="2">
        <f>FINV('a-TSH'!$I$30, 'a-TSH'!$J$39, 'a-TSH'!$J$40)</f>
        <v>3.5874337024204954</v>
      </c>
    </row>
    <row r="40" spans="1:14" ht="24" x14ac:dyDescent="0.2">
      <c r="H40" s="21" t="s">
        <v>43</v>
      </c>
      <c r="I40" s="21">
        <f>SUM(DEVSQ('a-TSH'!$B$31:$E$31),DEVSQ('a-TSH'!$B$32:$E$32),DEVSQ('a-TSH'!$B$33:$E$33),DEVSQ('a-TSH'!$B$34:$E$34))</f>
        <v>43.741484119075864</v>
      </c>
      <c r="J40" s="21">
        <f>SUM('a-TSH'!$I$33:$I$36)-COUNT('a-TSH'!$I$33:$I$36)</f>
        <v>11</v>
      </c>
      <c r="K40" s="21">
        <f>'a-TSH'!$I$40 / 'a-TSH'!$J$40</f>
        <v>3.976498556279624</v>
      </c>
      <c r="L40" s="21"/>
      <c r="M40" s="21"/>
      <c r="N40" s="21"/>
    </row>
    <row r="41" spans="1:14" x14ac:dyDescent="0.2">
      <c r="H41" s="2" t="s">
        <v>44</v>
      </c>
      <c r="I41" s="2">
        <f>DEVSQ('a-TSH'!$B$31:$E$31,'a-TSH'!$B$32:$E$32,'a-TSH'!$B$33:$E$33,'a-TSH'!$B$34:$E$34)</f>
        <v>59.590306685689747</v>
      </c>
      <c r="J41" s="2">
        <f>SUM('a-TSH'!$I$33:$I$36) - 1</f>
        <v>14</v>
      </c>
    </row>
    <row r="44" spans="1:14" x14ac:dyDescent="0.2">
      <c r="L44" s="22"/>
      <c r="M44" s="22"/>
      <c r="N44" s="22"/>
    </row>
    <row r="49" spans="1:10" x14ac:dyDescent="0.2">
      <c r="B49" s="5"/>
    </row>
    <row r="50" spans="1:10" x14ac:dyDescent="0.2">
      <c r="A50" s="16"/>
      <c r="B50" s="5"/>
    </row>
    <row r="51" spans="1:10" x14ac:dyDescent="0.2">
      <c r="A51" s="16"/>
      <c r="B51" s="5"/>
    </row>
    <row r="52" spans="1:10" x14ac:dyDescent="0.2">
      <c r="A52" s="16"/>
      <c r="B52" s="5"/>
    </row>
    <row r="53" spans="1:10" x14ac:dyDescent="0.2">
      <c r="B53" s="5"/>
    </row>
    <row r="54" spans="1:10" x14ac:dyDescent="0.2">
      <c r="B54" s="5"/>
      <c r="J54" s="25"/>
    </row>
    <row r="55" spans="1:10" x14ac:dyDescent="0.2">
      <c r="B55" s="5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opLeftCell="A4" zoomScale="110" zoomScaleNormal="110" workbookViewId="0">
      <selection activeCell="E48" sqref="E48"/>
    </sheetView>
  </sheetViews>
  <sheetFormatPr defaultColWidth="11.5703125" defaultRowHeight="12.75" x14ac:dyDescent="0.2"/>
  <cols>
    <col min="1" max="1024" width="11.5703125" style="2"/>
  </cols>
  <sheetData>
    <row r="1" spans="1:13" x14ac:dyDescent="0.2">
      <c r="A1" s="6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</row>
    <row r="2" spans="1:13" x14ac:dyDescent="0.2">
      <c r="A2" s="6" t="s">
        <v>0</v>
      </c>
      <c r="B2" s="6">
        <v>25.366664886474599</v>
      </c>
      <c r="C2" s="6">
        <v>25.192792892456101</v>
      </c>
      <c r="D2" s="6">
        <v>24.676071166992202</v>
      </c>
      <c r="E2" s="6">
        <v>25.705732345581101</v>
      </c>
      <c r="F2" s="6">
        <v>27.198881149291999</v>
      </c>
      <c r="G2" s="6">
        <v>27.302242279052699</v>
      </c>
      <c r="H2" s="6">
        <v>27.344741821289102</v>
      </c>
      <c r="I2" s="6">
        <v>27.4554557800293</v>
      </c>
    </row>
    <row r="3" spans="1:13" x14ac:dyDescent="0.2">
      <c r="A3" s="6" t="s">
        <v>1</v>
      </c>
      <c r="B3" s="6">
        <v>27.977329254150401</v>
      </c>
      <c r="C3" s="6">
        <v>27.590745925903299</v>
      </c>
      <c r="D3" s="6">
        <v>27.655380249023398</v>
      </c>
      <c r="E3" s="6">
        <v>27.7758693695068</v>
      </c>
      <c r="F3" s="6">
        <v>25.552974700927699</v>
      </c>
      <c r="G3" s="6">
        <v>25.783857345581101</v>
      </c>
      <c r="H3" s="6">
        <v>25.7752361297607</v>
      </c>
      <c r="I3" s="6">
        <v>25.9469318389893</v>
      </c>
    </row>
    <row r="4" spans="1:13" x14ac:dyDescent="0.2">
      <c r="A4" s="6" t="s">
        <v>2</v>
      </c>
      <c r="B4" s="6">
        <v>29.031772613525401</v>
      </c>
      <c r="C4" s="6">
        <v>29.259086608886701</v>
      </c>
      <c r="D4" s="6">
        <v>28.955762863159201</v>
      </c>
      <c r="E4" s="6">
        <v>28.8823356628418</v>
      </c>
      <c r="F4" s="6">
        <v>27.116016387939499</v>
      </c>
      <c r="G4" s="6">
        <v>27.413963317871101</v>
      </c>
      <c r="H4" s="6">
        <v>27.472396850585898</v>
      </c>
      <c r="I4" s="6">
        <v>27.297830581665</v>
      </c>
    </row>
    <row r="5" spans="1:13" x14ac:dyDescent="0.2">
      <c r="A5" s="6" t="s">
        <v>3</v>
      </c>
      <c r="B5" s="6">
        <v>31.872085571289102</v>
      </c>
      <c r="C5" s="6">
        <v>30.902725219726602</v>
      </c>
      <c r="D5" s="6">
        <v>31.212018966674801</v>
      </c>
      <c r="E5" s="6">
        <v>30.7579040527344</v>
      </c>
      <c r="F5" s="6">
        <v>26.542577743530298</v>
      </c>
      <c r="G5" s="6">
        <v>26.782497406005898</v>
      </c>
      <c r="H5" s="6">
        <v>26.721349716186499</v>
      </c>
      <c r="I5" s="6">
        <v>26.902387619018601</v>
      </c>
    </row>
    <row r="6" spans="1:13" x14ac:dyDescent="0.2">
      <c r="A6" s="6" t="s">
        <v>4</v>
      </c>
      <c r="B6" s="6">
        <v>23.855991363525401</v>
      </c>
      <c r="C6" s="6">
        <v>23.7980251312256</v>
      </c>
      <c r="D6" s="6">
        <v>23.725639343261701</v>
      </c>
      <c r="E6" s="6">
        <v>23.6528224945068</v>
      </c>
      <c r="F6" s="6">
        <v>29.130659103393601</v>
      </c>
      <c r="G6" s="6">
        <v>29.534235000610401</v>
      </c>
      <c r="H6" s="6">
        <v>29.785572052001999</v>
      </c>
      <c r="I6" s="6">
        <v>29.607122421264599</v>
      </c>
    </row>
    <row r="7" spans="1:13" x14ac:dyDescent="0.2">
      <c r="A7" s="6" t="s">
        <v>5</v>
      </c>
      <c r="B7" s="6">
        <v>26.196245193481399</v>
      </c>
      <c r="C7" s="6">
        <v>26.244182586669901</v>
      </c>
      <c r="D7" s="6">
        <v>25.998121261596701</v>
      </c>
      <c r="E7" s="6">
        <v>26.027061462402301</v>
      </c>
      <c r="F7" s="6">
        <v>28.8438529968262</v>
      </c>
      <c r="G7" s="6">
        <v>28.766262054443398</v>
      </c>
      <c r="H7" s="6">
        <v>28.727500915527301</v>
      </c>
      <c r="I7" s="6">
        <v>28.7910041809082</v>
      </c>
    </row>
    <row r="8" spans="1:13" x14ac:dyDescent="0.2">
      <c r="A8" s="6" t="s">
        <v>7</v>
      </c>
      <c r="B8" s="6">
        <v>28.6187133789062</v>
      </c>
      <c r="C8" s="6">
        <v>28.4185905456543</v>
      </c>
      <c r="D8" s="6">
        <v>28.511457443237301</v>
      </c>
      <c r="E8" s="6">
        <v>28.305660247802699</v>
      </c>
      <c r="F8" s="6">
        <v>30.836999893188501</v>
      </c>
      <c r="G8" s="6">
        <v>31.3326740264893</v>
      </c>
      <c r="H8" s="6">
        <v>30.7515773773193</v>
      </c>
      <c r="I8" s="6">
        <v>30.9178867340088</v>
      </c>
    </row>
    <row r="9" spans="1:13" x14ac:dyDescent="0.2">
      <c r="A9" s="6" t="s">
        <v>8</v>
      </c>
      <c r="B9" s="6">
        <v>29.886920928955099</v>
      </c>
      <c r="C9" s="6">
        <v>31.1334743499756</v>
      </c>
      <c r="D9" s="6">
        <v>30.890935897827099</v>
      </c>
      <c r="E9" s="6">
        <v>30.638114929199201</v>
      </c>
      <c r="F9" s="6">
        <v>28.6831665039062</v>
      </c>
      <c r="G9" s="6">
        <v>28.5334777832031</v>
      </c>
      <c r="H9" s="6">
        <v>28.892839431762699</v>
      </c>
      <c r="I9" s="6">
        <v>29.423851013183601</v>
      </c>
    </row>
    <row r="12" spans="1:13" x14ac:dyDescent="0.2">
      <c r="B12" s="6" t="s">
        <v>9</v>
      </c>
      <c r="C12" s="6" t="s">
        <v>10</v>
      </c>
      <c r="D12" s="6" t="s">
        <v>49</v>
      </c>
      <c r="E12" s="6" t="s">
        <v>50</v>
      </c>
      <c r="F12" s="6" t="s">
        <v>9</v>
      </c>
      <c r="G12" s="6" t="s">
        <v>10</v>
      </c>
      <c r="H12" s="6" t="s">
        <v>13</v>
      </c>
      <c r="I12" s="6" t="s">
        <v>14</v>
      </c>
    </row>
    <row r="13" spans="1:13" x14ac:dyDescent="0.2">
      <c r="B13" s="6">
        <v>40063.74</v>
      </c>
      <c r="C13" s="6">
        <f>LOG(B13)</f>
        <v>4.6027514887804868</v>
      </c>
      <c r="D13" s="6">
        <f>AVERAGE(B2:E2)</f>
        <v>25.235315322876001</v>
      </c>
      <c r="E13" s="6">
        <f>_xlfn.STDEV.S(B2:E2)/D13</f>
        <v>1.7015128773478261E-2</v>
      </c>
      <c r="F13" s="6">
        <v>80060.210000000006</v>
      </c>
      <c r="G13" s="6">
        <f>LOG(F13)</f>
        <v>4.903416724936231</v>
      </c>
      <c r="H13" s="6">
        <f>AVERAGE(B6:E6)</f>
        <v>23.758119583129876</v>
      </c>
      <c r="I13" s="6">
        <f>_xlfn.STDEV.S(B6:E6)/H13</f>
        <v>3.7105105022845271E-3</v>
      </c>
    </row>
    <row r="14" spans="1:13" x14ac:dyDescent="0.2">
      <c r="B14" s="6">
        <v>8012.75</v>
      </c>
      <c r="C14" s="6">
        <f>LOG(B14)</f>
        <v>3.9037815928453381</v>
      </c>
      <c r="D14" s="6">
        <f>AVERAGE(B3:E3)</f>
        <v>27.749831199645975</v>
      </c>
      <c r="E14" s="6">
        <f>_xlfn.STDEV.S(B3:E3)/D14</f>
        <v>6.1248368830739332E-3</v>
      </c>
      <c r="F14" s="6">
        <v>16012.04</v>
      </c>
      <c r="G14" s="6">
        <f>LOG(F14)</f>
        <v>4.204446666354225</v>
      </c>
      <c r="H14" s="6">
        <f>AVERAGE(B7:E7)</f>
        <v>26.116402626037573</v>
      </c>
      <c r="I14" s="6">
        <f>_xlfn.STDEV.S(B7:E7)/H14</f>
        <v>4.6725903515521926E-3</v>
      </c>
    </row>
    <row r="15" spans="1:13" x14ac:dyDescent="0.2">
      <c r="B15" s="6">
        <v>1602.55</v>
      </c>
      <c r="C15" s="6">
        <f>LOG(B15)</f>
        <v>3.2048115885093194</v>
      </c>
      <c r="D15" s="6">
        <f>AVERAGE(B4:E4)</f>
        <v>29.032239437103275</v>
      </c>
      <c r="E15" s="6">
        <f>_xlfn.STDEV.S(B4:E4)/D15</f>
        <v>5.6170066795012945E-3</v>
      </c>
      <c r="F15" s="6">
        <v>3202.41</v>
      </c>
      <c r="G15" s="6">
        <f>LOG(F15)</f>
        <v>3.5054769332480724</v>
      </c>
      <c r="H15" s="6">
        <f>AVERAGE(B8:E8)</f>
        <v>28.463605403900125</v>
      </c>
      <c r="I15" s="6">
        <f>_xlfn.STDEV.S(B8:E8)/H15</f>
        <v>4.6838165140665267E-3</v>
      </c>
    </row>
    <row r="16" spans="1:13" x14ac:dyDescent="0.2">
      <c r="B16" s="6">
        <v>320.51</v>
      </c>
      <c r="C16" s="6">
        <f>LOG(B16)</f>
        <v>2.5058415841733006</v>
      </c>
      <c r="D16" s="6">
        <f>AVERAGE(B5:E5)</f>
        <v>31.186183452606226</v>
      </c>
      <c r="E16" s="6">
        <f>_xlfn.STDEV.S(B5:E5)/D16</f>
        <v>1.5870534876078781E-2</v>
      </c>
      <c r="F16" s="6">
        <v>640.48</v>
      </c>
      <c r="G16" s="6">
        <f>LOG(F16)</f>
        <v>2.8065055727610297</v>
      </c>
      <c r="H16" s="6">
        <f>AVERAGE(B9:E9)</f>
        <v>30.637361526489251</v>
      </c>
      <c r="I16" s="6">
        <f>_xlfn.STDEV.S(B9:E9)/H16</f>
        <v>1.7613340352488932E-2</v>
      </c>
      <c r="K16" s="2" t="s">
        <v>15</v>
      </c>
      <c r="L16" s="2">
        <v>-3.29</v>
      </c>
      <c r="M16" s="2">
        <v>39.9</v>
      </c>
    </row>
    <row r="17" spans="1:15" x14ac:dyDescent="0.2">
      <c r="B17" s="26"/>
      <c r="C17" s="22"/>
      <c r="D17" s="22"/>
      <c r="E17" s="22"/>
      <c r="F17" s="27"/>
      <c r="G17" s="22"/>
      <c r="H17" s="22"/>
      <c r="I17" s="22"/>
      <c r="K17" s="2" t="s">
        <v>16</v>
      </c>
      <c r="L17" s="2">
        <v>-2.73</v>
      </c>
      <c r="M17" s="2">
        <v>38</v>
      </c>
    </row>
    <row r="18" spans="1:15" x14ac:dyDescent="0.2">
      <c r="B18" s="5"/>
    </row>
    <row r="20" spans="1:15" x14ac:dyDescent="0.2">
      <c r="A20" s="3"/>
      <c r="B20" s="3"/>
      <c r="C20" s="3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5" ht="24" x14ac:dyDescent="0.2">
      <c r="A21" s="3" t="s">
        <v>17</v>
      </c>
      <c r="B21" s="3" t="s">
        <v>10</v>
      </c>
      <c r="C21" s="3" t="s">
        <v>10</v>
      </c>
      <c r="D21" s="3" t="s">
        <v>10</v>
      </c>
      <c r="E21" s="3" t="s">
        <v>10</v>
      </c>
      <c r="F21" s="3" t="s">
        <v>18</v>
      </c>
      <c r="G21" s="3" t="s">
        <v>19</v>
      </c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18</v>
      </c>
      <c r="M21" s="3" t="s">
        <v>19</v>
      </c>
      <c r="N21" s="3" t="s">
        <v>20</v>
      </c>
      <c r="O21" s="3" t="s">
        <v>21</v>
      </c>
    </row>
    <row r="22" spans="1:15" x14ac:dyDescent="0.2">
      <c r="A22" s="7" t="s">
        <v>22</v>
      </c>
      <c r="B22" s="3">
        <f t="shared" ref="B22:E25" si="0">10^((F2-$M$17)/$L$17)</f>
        <v>9045.9418463160382</v>
      </c>
      <c r="C22" s="3">
        <f t="shared" si="0"/>
        <v>8290.7261790858574</v>
      </c>
      <c r="D22" s="3">
        <f t="shared" si="0"/>
        <v>7998.8025039792738</v>
      </c>
      <c r="E22" s="3">
        <f t="shared" si="0"/>
        <v>7285.6853331530101</v>
      </c>
      <c r="F22" s="6">
        <f>AVERAGE(B22:E22)</f>
        <v>8155.2889656335446</v>
      </c>
      <c r="G22" s="8">
        <f>_xlfn.STDEV.S(B22:E22)/F22</f>
        <v>8.9333232746612729E-2</v>
      </c>
      <c r="H22" s="3">
        <f t="shared" ref="H22:K25" si="1">10^((F6-$M$16)/$L$16)</f>
        <v>1876.5316582394189</v>
      </c>
      <c r="I22" s="3">
        <f t="shared" si="1"/>
        <v>1414.7784945385595</v>
      </c>
      <c r="J22" s="3">
        <f t="shared" si="1"/>
        <v>1186.5723093132815</v>
      </c>
      <c r="K22" s="3">
        <f t="shared" si="1"/>
        <v>1344.4176904014005</v>
      </c>
      <c r="L22" s="6">
        <f>AVERAGE(H22:K22)</f>
        <v>1455.5750381231651</v>
      </c>
      <c r="M22" s="8">
        <f>_xlfn.STDEV.S(H22:K22) / L22</f>
        <v>0.2036418246218577</v>
      </c>
      <c r="N22" s="6">
        <f>F22/L22</f>
        <v>5.6027952884854813</v>
      </c>
      <c r="O22" s="10">
        <f>SQRT(G22^2+M22^2) * N22</f>
        <v>1.2459188129482468</v>
      </c>
    </row>
    <row r="23" spans="1:15" x14ac:dyDescent="0.2">
      <c r="A23" s="7" t="s">
        <v>23</v>
      </c>
      <c r="B23" s="3">
        <f t="shared" si="0"/>
        <v>36253.49880096093</v>
      </c>
      <c r="C23" s="3">
        <f t="shared" si="0"/>
        <v>29838.537238243422</v>
      </c>
      <c r="D23" s="3">
        <f t="shared" si="0"/>
        <v>30056.297696601581</v>
      </c>
      <c r="E23" s="3">
        <f t="shared" si="0"/>
        <v>26004.187117731246</v>
      </c>
      <c r="F23" s="6">
        <f>AVERAGE(B23:E23)</f>
        <v>30538.130213384295</v>
      </c>
      <c r="G23" s="8">
        <f>_xlfn.STDEV.S(B23:E23)/F23</f>
        <v>0.13885680844538537</v>
      </c>
      <c r="H23" s="3">
        <f t="shared" si="1"/>
        <v>2293.6703682577322</v>
      </c>
      <c r="I23" s="3">
        <f t="shared" si="1"/>
        <v>2421.6695280658523</v>
      </c>
      <c r="J23" s="3">
        <f t="shared" si="1"/>
        <v>2488.2635530516463</v>
      </c>
      <c r="K23" s="3">
        <f t="shared" si="1"/>
        <v>2380.095996844665</v>
      </c>
      <c r="L23" s="6">
        <f>AVERAGE(H23:K23)</f>
        <v>2395.9248615549741</v>
      </c>
      <c r="M23" s="8">
        <f>_xlfn.STDEV.S(H23:K23) / L23</f>
        <v>3.398962736802822E-2</v>
      </c>
      <c r="N23" s="6">
        <f>F23/L23</f>
        <v>12.745863070833034</v>
      </c>
      <c r="O23" s="10">
        <f>SQRT(G23^2+M23^2) * N23</f>
        <v>1.8221016170761255</v>
      </c>
    </row>
    <row r="24" spans="1:15" x14ac:dyDescent="0.2">
      <c r="A24" s="7" t="s">
        <v>24</v>
      </c>
      <c r="B24" s="3">
        <f t="shared" si="0"/>
        <v>9700.7918026686875</v>
      </c>
      <c r="C24" s="3">
        <f t="shared" si="0"/>
        <v>7545.1714773482836</v>
      </c>
      <c r="D24" s="3">
        <f t="shared" si="0"/>
        <v>7182.3223018025719</v>
      </c>
      <c r="E24" s="3">
        <f t="shared" si="0"/>
        <v>8321.6333733821702</v>
      </c>
      <c r="F24" s="6">
        <f>AVERAGE(B24:D24)</f>
        <v>8142.7618606065143</v>
      </c>
      <c r="G24" s="8">
        <f>_xlfn.STDEV.S(B24:E24)/F24</f>
        <v>0.13695596753904768</v>
      </c>
      <c r="H24" s="3">
        <f t="shared" si="1"/>
        <v>568.47488000022315</v>
      </c>
      <c r="I24" s="3">
        <f t="shared" si="1"/>
        <v>401.83748579183623</v>
      </c>
      <c r="J24" s="3">
        <f t="shared" si="1"/>
        <v>603.49763040049856</v>
      </c>
      <c r="K24" s="3">
        <f t="shared" si="1"/>
        <v>537.18714673100499</v>
      </c>
      <c r="L24" s="6">
        <f>AVERAGE(H24:K24)</f>
        <v>527.74928573089073</v>
      </c>
      <c r="M24" s="8">
        <f>_xlfn.STDEV.S(J24:K24) / L24</f>
        <v>8.8846340363155127E-2</v>
      </c>
      <c r="N24" s="6">
        <f>F24/L24</f>
        <v>15.42922383936425</v>
      </c>
      <c r="O24" s="10">
        <f>SQRT(G24^2+M24^2) * N24</f>
        <v>2.5188230005634953</v>
      </c>
    </row>
    <row r="25" spans="1:15" x14ac:dyDescent="0.2">
      <c r="A25" s="7" t="s">
        <v>25</v>
      </c>
      <c r="B25" s="3">
        <f t="shared" si="0"/>
        <v>15734.681971511654</v>
      </c>
      <c r="C25" s="3">
        <f t="shared" si="0"/>
        <v>12852.13589912826</v>
      </c>
      <c r="D25" s="3">
        <f t="shared" si="0"/>
        <v>13532.365844663987</v>
      </c>
      <c r="E25" s="3">
        <f t="shared" si="0"/>
        <v>11616.076947054118</v>
      </c>
      <c r="F25" s="6">
        <f>AVERAGE(B25:E25)</f>
        <v>13433.815165589505</v>
      </c>
      <c r="G25" s="8">
        <f>_xlfn.STDEV.S(B25:E25)/F25</f>
        <v>0.12854638591928119</v>
      </c>
      <c r="H25" s="3">
        <f t="shared" si="1"/>
        <v>2566.6809266229875</v>
      </c>
      <c r="I25" s="3">
        <f t="shared" si="1"/>
        <v>2850.1648166687241</v>
      </c>
      <c r="J25" s="3">
        <f t="shared" si="1"/>
        <v>2216.3661573174995</v>
      </c>
      <c r="K25" s="3">
        <f t="shared" si="1"/>
        <v>1528.4097998134287</v>
      </c>
      <c r="L25" s="6">
        <f>AVERAGE(H25:K25)</f>
        <v>2290.40542510566</v>
      </c>
      <c r="M25" s="8">
        <f>_xlfn.STDEV.S(H25:K25) / L25</f>
        <v>0.24900180329944413</v>
      </c>
      <c r="N25" s="6">
        <f>F25/L25</f>
        <v>5.8652564381564813</v>
      </c>
      <c r="O25" s="10">
        <f>SQRT(G25^2+M25^2) * N25</f>
        <v>1.6435917025814164</v>
      </c>
    </row>
    <row r="29" spans="1:15" ht="24" x14ac:dyDescent="0.2">
      <c r="H29" s="11" t="s">
        <v>26</v>
      </c>
    </row>
    <row r="30" spans="1:15" x14ac:dyDescent="0.2">
      <c r="H30" s="2" t="s">
        <v>27</v>
      </c>
      <c r="I30" s="2">
        <v>0.05</v>
      </c>
    </row>
    <row r="31" spans="1:15" x14ac:dyDescent="0.2">
      <c r="B31" s="2">
        <f t="shared" ref="B31:E34" si="2">B22 / H22</f>
        <v>4.8205644741443017</v>
      </c>
      <c r="C31" s="2">
        <f t="shared" si="2"/>
        <v>5.8600877883643117</v>
      </c>
      <c r="D31" s="2">
        <f t="shared" si="2"/>
        <v>6.7410999238710634</v>
      </c>
      <c r="E31" s="2">
        <f t="shared" si="2"/>
        <v>5.4192126339677484</v>
      </c>
    </row>
    <row r="32" spans="1:15" x14ac:dyDescent="0.2">
      <c r="B32" s="2">
        <f t="shared" si="2"/>
        <v>15.805888807160647</v>
      </c>
      <c r="C32" s="2">
        <f t="shared" si="2"/>
        <v>12.321473633140593</v>
      </c>
      <c r="D32" s="2">
        <f t="shared" si="2"/>
        <v>12.079225956486827</v>
      </c>
      <c r="E32" s="2">
        <f t="shared" si="2"/>
        <v>10.925688355514001</v>
      </c>
      <c r="H32" s="21" t="s">
        <v>28</v>
      </c>
      <c r="I32" s="21" t="s">
        <v>29</v>
      </c>
      <c r="J32" s="21" t="s">
        <v>30</v>
      </c>
      <c r="K32" s="21" t="s">
        <v>18</v>
      </c>
      <c r="L32" s="21" t="s">
        <v>31</v>
      </c>
    </row>
    <row r="33" spans="1:14" x14ac:dyDescent="0.2">
      <c r="A33" s="14"/>
      <c r="B33" s="2">
        <f t="shared" si="2"/>
        <v>17.064591847338761</v>
      </c>
      <c r="C33" s="2">
        <f t="shared" si="2"/>
        <v>18.776674014073706</v>
      </c>
      <c r="D33" s="2">
        <f t="shared" si="2"/>
        <v>11.901160733698614</v>
      </c>
      <c r="E33" s="2">
        <f t="shared" si="2"/>
        <v>15.491125251269658</v>
      </c>
      <c r="H33" s="2" t="s">
        <v>32</v>
      </c>
      <c r="I33" s="2">
        <f>COUNT('a-LH'!$B$31:$E$31)</f>
        <v>4</v>
      </c>
      <c r="J33" s="2">
        <f>SUM('a-LH'!$B$31:$E$31)</f>
        <v>22.840964820347427</v>
      </c>
      <c r="K33" s="2">
        <f>AVERAGE('a-LH'!$B$31:$E$31)</f>
        <v>5.7102412050868567</v>
      </c>
      <c r="L33" s="2">
        <f>VAR('a-LH'!$B$31:$E$31)</f>
        <v>0.65378200380052931</v>
      </c>
      <c r="M33" s="2">
        <f>AVERAGE(L33:L36)</f>
        <v>3.8161619245790299</v>
      </c>
    </row>
    <row r="34" spans="1:14" x14ac:dyDescent="0.2">
      <c r="B34" s="2">
        <f t="shared" si="2"/>
        <v>6.1303615140873635</v>
      </c>
      <c r="C34" s="2">
        <f t="shared" si="2"/>
        <v>4.5092605957257765</v>
      </c>
      <c r="D34" s="2">
        <f t="shared" si="2"/>
        <v>6.1056544289786521</v>
      </c>
      <c r="E34" s="2">
        <f t="shared" si="2"/>
        <v>7.6001062990253532</v>
      </c>
      <c r="H34" s="2" t="s">
        <v>33</v>
      </c>
      <c r="I34" s="2">
        <f>COUNT('a-LH'!$B$32:$E$32)</f>
        <v>4</v>
      </c>
      <c r="J34" s="2">
        <f>SUM('a-LH'!$B$32:$E$32)</f>
        <v>51.132276752302062</v>
      </c>
      <c r="K34" s="2">
        <f>AVERAGE('a-LH'!$B$32:$E$32)</f>
        <v>12.783069188075515</v>
      </c>
      <c r="L34" s="2">
        <f>VAR('a-LH'!$B$32:$E$32)</f>
        <v>4.4319225858940099</v>
      </c>
    </row>
    <row r="35" spans="1:14" x14ac:dyDescent="0.2">
      <c r="C35" s="4"/>
      <c r="H35" s="2" t="s">
        <v>34</v>
      </c>
      <c r="I35" s="2">
        <f>COUNT('a-LH'!$B$33:$E$33)</f>
        <v>4</v>
      </c>
      <c r="J35" s="2">
        <f>SUM('a-LH'!$B$33:$E$33)</f>
        <v>63.233551846380742</v>
      </c>
      <c r="K35" s="2">
        <f>AVERAGE('a-LH'!$B$33:$E$33)</f>
        <v>15.808387961595185</v>
      </c>
      <c r="L35" s="2">
        <f>VAR('a-LH'!$B$33:$E$33)</f>
        <v>8.5852835098916476</v>
      </c>
    </row>
    <row r="36" spans="1:14" x14ac:dyDescent="0.2">
      <c r="H36" s="22" t="s">
        <v>35</v>
      </c>
      <c r="I36" s="22">
        <f>COUNT('a-LH'!$B$34:$E$34)</f>
        <v>4</v>
      </c>
      <c r="J36" s="22">
        <f>SUM('a-LH'!$B$34:$E$34)</f>
        <v>24.345382837817144</v>
      </c>
      <c r="K36" s="22">
        <f>AVERAGE('a-LH'!$B$34:$E$34)</f>
        <v>6.0863457094542861</v>
      </c>
      <c r="L36" s="22">
        <f>VAR('a-LH'!$B$34:$E$34)</f>
        <v>1.5936595987299331</v>
      </c>
    </row>
    <row r="37" spans="1:14" x14ac:dyDescent="0.2">
      <c r="A37" s="16"/>
    </row>
    <row r="38" spans="1:14" ht="24" x14ac:dyDescent="0.2">
      <c r="A38" s="16"/>
      <c r="H38" s="2" t="s">
        <v>36</v>
      </c>
      <c r="I38" s="2" t="s">
        <v>37</v>
      </c>
      <c r="J38" s="2" t="s">
        <v>38</v>
      </c>
      <c r="K38" s="2" t="s">
        <v>39</v>
      </c>
      <c r="L38" s="2" t="s">
        <v>5</v>
      </c>
      <c r="M38" s="2" t="s">
        <v>40</v>
      </c>
      <c r="N38" s="2" t="s">
        <v>41</v>
      </c>
    </row>
    <row r="39" spans="1:14" ht="24" x14ac:dyDescent="0.2">
      <c r="A39" s="16"/>
      <c r="H39" s="2" t="s">
        <v>42</v>
      </c>
      <c r="I39" s="2">
        <f>SUMPRODUCT('a-LH'!$J$33:$J$36,'a-LH'!$K$33:$K$36)-SUM('a-LH'!$J$33:$J$36)^2/SUM('a-LH'!$I$33:$I$36)</f>
        <v>300.65568277407306</v>
      </c>
      <c r="J39" s="2">
        <f>COUNT('a-LH'!$J$33:$J$36)-1</f>
        <v>3</v>
      </c>
      <c r="K39" s="2">
        <f>'a-LH'!$I$39 / 'a-LH'!$J$39</f>
        <v>100.21856092469102</v>
      </c>
      <c r="L39" s="2">
        <f>'a-LH'!$K$39 / 'a-LH'!$K$40</f>
        <v>26.261611248518072</v>
      </c>
      <c r="M39" s="2">
        <f>FDIST('a-LH'!$L$39, 'a-LH'!$J$39, 'a-LH'!$J$40)</f>
        <v>1.4727658138753717E-5</v>
      </c>
      <c r="N39" s="2">
        <f>FINV('a-LH'!$I$30, 'a-LH'!$J$39, 'a-LH'!$J$40)</f>
        <v>3.4902948194976045</v>
      </c>
    </row>
    <row r="40" spans="1:14" ht="24" x14ac:dyDescent="0.2">
      <c r="H40" s="21" t="s">
        <v>43</v>
      </c>
      <c r="I40" s="21">
        <f>SUM(DEVSQ('a-LH'!$B$31:$E$31),DEVSQ('a-LH'!$B$32:$E$32),DEVSQ('a-LH'!$B$33:$E$33),DEVSQ('a-LH'!$B$34:$E$34))</f>
        <v>45.793943094948354</v>
      </c>
      <c r="J40" s="21">
        <f>SUM('a-LH'!$I$33:$I$36)-COUNT('a-LH'!$I$33:$I$36)</f>
        <v>12</v>
      </c>
      <c r="K40" s="21">
        <f>'a-LH'!$I$40 / 'a-LH'!$J$40</f>
        <v>3.8161619245790295</v>
      </c>
      <c r="L40" s="21"/>
      <c r="M40" s="21"/>
      <c r="N40" s="21"/>
    </row>
    <row r="41" spans="1:14" x14ac:dyDescent="0.2">
      <c r="H41" s="2" t="s">
        <v>44</v>
      </c>
      <c r="I41" s="2">
        <f>DEVSQ('a-LH'!$B$31:$E$31,'a-LH'!$B$32:$E$32,'a-LH'!$B$33:$E$33,'a-LH'!$B$34:$E$34)</f>
        <v>346.44962586902125</v>
      </c>
      <c r="J41" s="2">
        <f>SUM('a-LH'!$I$33:$I$36) - 1</f>
        <v>15</v>
      </c>
    </row>
    <row r="43" spans="1:14" ht="24" x14ac:dyDescent="0.2">
      <c r="H43" s="2" t="s">
        <v>28</v>
      </c>
      <c r="I43" s="2" t="s">
        <v>45</v>
      </c>
      <c r="J43" s="2" t="s">
        <v>46</v>
      </c>
      <c r="K43" s="2" t="s">
        <v>47</v>
      </c>
    </row>
    <row r="44" spans="1:14" x14ac:dyDescent="0.2">
      <c r="H44" s="2" t="s">
        <v>51</v>
      </c>
      <c r="I44" s="2">
        <f>ABS(K33 - K34)</f>
        <v>7.0728279829886587</v>
      </c>
      <c r="J44" s="12">
        <f>$J$51 * (SQRT($M$33/4))</f>
        <v>4.1023498250872663</v>
      </c>
      <c r="K44" s="12">
        <f t="shared" ref="K44:K49" si="3">IF(I44&gt;$J$44, 1, 0)</f>
        <v>1</v>
      </c>
      <c r="L44" s="22"/>
      <c r="M44" s="22"/>
      <c r="N44" s="22"/>
    </row>
    <row r="45" spans="1:14" x14ac:dyDescent="0.2">
      <c r="H45" s="2" t="s">
        <v>52</v>
      </c>
      <c r="I45" s="2">
        <f>ABS(K33 - K35)</f>
        <v>10.098146756508328</v>
      </c>
      <c r="J45" s="12"/>
      <c r="K45" s="12">
        <f t="shared" si="3"/>
        <v>1</v>
      </c>
    </row>
    <row r="46" spans="1:14" x14ac:dyDescent="0.2">
      <c r="H46" s="2" t="s">
        <v>53</v>
      </c>
      <c r="I46" s="2">
        <f>ABS(K33 - K36)</f>
        <v>0.37610450436742937</v>
      </c>
      <c r="J46" s="12"/>
      <c r="K46" s="12">
        <f t="shared" si="3"/>
        <v>0</v>
      </c>
    </row>
    <row r="47" spans="1:14" x14ac:dyDescent="0.2">
      <c r="H47" s="2" t="s">
        <v>54</v>
      </c>
      <c r="I47" s="2">
        <f>ABS(K34 - K35)</f>
        <v>3.02531877351967</v>
      </c>
      <c r="J47" s="12"/>
      <c r="K47" s="12">
        <f t="shared" si="3"/>
        <v>0</v>
      </c>
    </row>
    <row r="48" spans="1:14" x14ac:dyDescent="0.2">
      <c r="H48" s="2" t="s">
        <v>55</v>
      </c>
      <c r="I48" s="2">
        <f>ABS(K34 - K36)</f>
        <v>6.6967234786212293</v>
      </c>
      <c r="J48" s="12"/>
      <c r="K48" s="12">
        <f t="shared" si="3"/>
        <v>1</v>
      </c>
    </row>
    <row r="49" spans="1:11" x14ac:dyDescent="0.2">
      <c r="B49" s="5"/>
      <c r="H49" s="2" t="s">
        <v>56</v>
      </c>
      <c r="I49" s="2">
        <f>ABS(K35 - K36)</f>
        <v>9.7220422521408985</v>
      </c>
      <c r="J49" s="12"/>
      <c r="K49" s="12">
        <f t="shared" si="3"/>
        <v>1</v>
      </c>
    </row>
    <row r="50" spans="1:11" x14ac:dyDescent="0.2">
      <c r="A50" s="16"/>
      <c r="B50" s="5"/>
    </row>
    <row r="51" spans="1:11" x14ac:dyDescent="0.2">
      <c r="A51" s="16"/>
      <c r="B51" s="5"/>
      <c r="J51" s="2">
        <v>4.2</v>
      </c>
    </row>
    <row r="52" spans="1:11" x14ac:dyDescent="0.2">
      <c r="A52" s="16"/>
      <c r="B52" s="5"/>
    </row>
    <row r="53" spans="1:11" x14ac:dyDescent="0.2">
      <c r="B53" s="5"/>
    </row>
    <row r="54" spans="1:11" x14ac:dyDescent="0.2">
      <c r="B54" s="5"/>
      <c r="J54" s="25"/>
    </row>
    <row r="55" spans="1:11" x14ac:dyDescent="0.2">
      <c r="B55" s="5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b-CG</vt:lpstr>
      <vt:lpstr>b-FSH</vt:lpstr>
      <vt:lpstr>b-LH</vt:lpstr>
      <vt:lpstr>b-TSH</vt:lpstr>
      <vt:lpstr>a-hCG</vt:lpstr>
      <vt:lpstr>a-FSH</vt:lpstr>
      <vt:lpstr>a-TSH</vt:lpstr>
      <vt:lpstr>a-LH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MS</cp:lastModifiedBy>
  <cp:revision>1</cp:revision>
  <dcterms:created xsi:type="dcterms:W3CDTF">2024-08-07T14:35:12Z</dcterms:created>
  <dcterms:modified xsi:type="dcterms:W3CDTF">2024-10-25T11:28:52Z</dcterms:modified>
  <dc:language>en-US</dc:language>
</cp:coreProperties>
</file>