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urzua/Documents/MS Preparacion/MS-QUISPE 3 Jibia vs Pez Espada/24.07.2023/PeerJ/"/>
    </mc:Choice>
  </mc:AlternateContent>
  <xr:revisionPtr revIDLastSave="0" documentId="13_ncr:1_{468E3A68-F868-2445-B995-47E165352692}" xr6:coauthVersionLast="47" xr6:coauthVersionMax="47" xr10:uidLastSave="{00000000-0000-0000-0000-000000000000}"/>
  <bookViews>
    <workbookView xWindow="500" yWindow="500" windowWidth="28800" windowHeight="16340" activeTab="1" xr2:uid="{968D227E-B89D-4B74-8B0B-7D8BFA1E2A1A}"/>
  </bookViews>
  <sheets>
    <sheet name="D.gigas" sheetId="1" r:id="rId1"/>
    <sheet name="X.gladi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6" i="2" l="1"/>
  <c r="J346" i="2" s="1"/>
  <c r="I1177" i="2"/>
  <c r="I1176" i="2"/>
  <c r="I1175" i="2"/>
  <c r="I1174" i="2"/>
  <c r="J1174" i="2" s="1"/>
  <c r="I1173" i="2"/>
  <c r="I1172" i="2"/>
  <c r="I1171" i="2"/>
  <c r="J1171" i="2" s="1"/>
  <c r="I1170" i="2"/>
  <c r="I1169" i="2"/>
  <c r="I1168" i="2"/>
  <c r="I1167" i="2"/>
  <c r="J1167" i="2" s="1"/>
  <c r="I1166" i="2"/>
  <c r="I1165" i="2"/>
  <c r="I1164" i="2"/>
  <c r="I1163" i="2"/>
  <c r="I1162" i="2"/>
  <c r="I1161" i="2"/>
  <c r="I1160" i="2"/>
  <c r="I1159" i="2"/>
  <c r="I1158" i="2"/>
  <c r="J1158" i="2" s="1"/>
  <c r="I1157" i="2"/>
  <c r="I1156" i="2"/>
  <c r="I1155" i="2"/>
  <c r="J1155" i="2" s="1"/>
  <c r="I1154" i="2"/>
  <c r="I1153" i="2"/>
  <c r="I1152" i="2"/>
  <c r="I1151" i="2"/>
  <c r="I1150" i="2"/>
  <c r="I1149" i="2"/>
  <c r="I1148" i="2"/>
  <c r="I1147" i="2"/>
  <c r="J1147" i="2" s="1"/>
  <c r="I1146" i="2"/>
  <c r="I1145" i="2"/>
  <c r="I1144" i="2"/>
  <c r="I1139" i="2"/>
  <c r="I1138" i="2"/>
  <c r="I1137" i="2"/>
  <c r="I1136" i="2"/>
  <c r="I1135" i="2"/>
  <c r="I1134" i="2"/>
  <c r="I1133" i="2"/>
  <c r="J1133" i="2" s="1"/>
  <c r="I1132" i="2"/>
  <c r="I1131" i="2"/>
  <c r="I1130" i="2"/>
  <c r="J1130" i="2" s="1"/>
  <c r="I1129" i="2"/>
  <c r="I1128" i="2"/>
  <c r="I1127" i="2"/>
  <c r="I1126" i="2"/>
  <c r="J1125" i="2"/>
  <c r="I1124" i="2"/>
  <c r="I1123" i="2"/>
  <c r="J1123" i="2" s="1"/>
  <c r="I1122" i="2"/>
  <c r="J1122" i="2" s="1"/>
  <c r="I1121" i="2"/>
  <c r="I1120" i="2"/>
  <c r="I1119" i="2"/>
  <c r="J1119" i="2" s="1"/>
  <c r="I1118" i="2"/>
  <c r="J1118" i="2" s="1"/>
  <c r="I1117" i="2"/>
  <c r="I1116" i="2"/>
  <c r="I1115" i="2"/>
  <c r="J1115" i="2" s="1"/>
  <c r="I1114" i="2"/>
  <c r="J1114" i="2" s="1"/>
  <c r="I1113" i="2"/>
  <c r="I1112" i="2"/>
  <c r="I1111" i="2"/>
  <c r="J1111" i="2" s="1"/>
  <c r="I1110" i="2"/>
  <c r="I1109" i="2"/>
  <c r="I1108" i="2"/>
  <c r="I1107" i="2"/>
  <c r="J1107" i="2" s="1"/>
  <c r="I1106" i="2"/>
  <c r="I1101" i="2"/>
  <c r="I1100" i="2"/>
  <c r="I1099" i="2"/>
  <c r="I1098" i="2"/>
  <c r="I1097" i="2"/>
  <c r="I1096" i="2"/>
  <c r="I1095" i="2"/>
  <c r="I1094" i="2"/>
  <c r="I1093" i="2"/>
  <c r="J1093" i="2" s="1"/>
  <c r="I1092" i="2"/>
  <c r="I1091" i="2"/>
  <c r="I1090" i="2"/>
  <c r="J1090" i="2" s="1"/>
  <c r="I1089" i="2"/>
  <c r="I1088" i="2"/>
  <c r="I1087" i="2"/>
  <c r="I1086" i="2"/>
  <c r="I1085" i="2"/>
  <c r="I1084" i="2"/>
  <c r="I1083" i="2"/>
  <c r="I1082" i="2"/>
  <c r="J1082" i="2" s="1"/>
  <c r="I1081" i="2"/>
  <c r="I1080" i="2"/>
  <c r="I1079" i="2"/>
  <c r="I1078" i="2"/>
  <c r="I1077" i="2"/>
  <c r="I1076" i="2"/>
  <c r="I1075" i="2"/>
  <c r="I1074" i="2"/>
  <c r="J1074" i="2" s="1"/>
  <c r="I1073" i="2"/>
  <c r="I1072" i="2"/>
  <c r="I1071" i="2"/>
  <c r="I1070" i="2"/>
  <c r="J1070" i="2" s="1"/>
  <c r="I1069" i="2"/>
  <c r="I1068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J1047" i="2" s="1"/>
  <c r="I1046" i="2"/>
  <c r="I1045" i="2"/>
  <c r="I1044" i="2"/>
  <c r="I1043" i="2"/>
  <c r="I1042" i="2"/>
  <c r="I1041" i="2"/>
  <c r="I1040" i="2"/>
  <c r="I1039" i="2"/>
  <c r="I1038" i="2"/>
  <c r="I1037" i="2"/>
  <c r="J1037" i="2" s="1"/>
  <c r="I1036" i="2"/>
  <c r="I1035" i="2"/>
  <c r="J1035" i="2" s="1"/>
  <c r="I1034" i="2"/>
  <c r="I1033" i="2"/>
  <c r="I1032" i="2"/>
  <c r="I1031" i="2"/>
  <c r="I1030" i="2"/>
  <c r="I1025" i="2"/>
  <c r="I1024" i="2"/>
  <c r="I1023" i="2"/>
  <c r="I1022" i="2"/>
  <c r="J1022" i="2" s="1"/>
  <c r="I1021" i="2"/>
  <c r="I1020" i="2"/>
  <c r="J1020" i="2" s="1"/>
  <c r="I1019" i="2"/>
  <c r="I1018" i="2"/>
  <c r="J1018" i="2" s="1"/>
  <c r="I1017" i="2"/>
  <c r="I1016" i="2"/>
  <c r="I1015" i="2"/>
  <c r="I1014" i="2"/>
  <c r="J1014" i="2" s="1"/>
  <c r="I1013" i="2"/>
  <c r="I1012" i="2"/>
  <c r="J1012" i="2" s="1"/>
  <c r="I1011" i="2"/>
  <c r="I1010" i="2"/>
  <c r="J1010" i="2" s="1"/>
  <c r="I1009" i="2"/>
  <c r="I1008" i="2"/>
  <c r="I1007" i="2"/>
  <c r="I1006" i="2"/>
  <c r="J1006" i="2" s="1"/>
  <c r="I1005" i="2"/>
  <c r="I1004" i="2"/>
  <c r="J1004" i="2" s="1"/>
  <c r="I1003" i="2"/>
  <c r="I1002" i="2"/>
  <c r="J1002" i="2" s="1"/>
  <c r="I1001" i="2"/>
  <c r="I1000" i="2"/>
  <c r="I999" i="2"/>
  <c r="I998" i="2"/>
  <c r="J998" i="2" s="1"/>
  <c r="I997" i="2"/>
  <c r="I996" i="2"/>
  <c r="J996" i="2" s="1"/>
  <c r="I995" i="2"/>
  <c r="I994" i="2"/>
  <c r="J994" i="2" s="1"/>
  <c r="I993" i="2"/>
  <c r="I992" i="2"/>
  <c r="I987" i="2"/>
  <c r="I986" i="2"/>
  <c r="I985" i="2"/>
  <c r="J985" i="2" s="1"/>
  <c r="I984" i="2"/>
  <c r="I983" i="2"/>
  <c r="J983" i="2" s="1"/>
  <c r="I982" i="2"/>
  <c r="I981" i="2"/>
  <c r="I980" i="2"/>
  <c r="I979" i="2"/>
  <c r="I978" i="2"/>
  <c r="I977" i="2"/>
  <c r="J977" i="2" s="1"/>
  <c r="I976" i="2"/>
  <c r="I975" i="2"/>
  <c r="J975" i="2" s="1"/>
  <c r="I974" i="2"/>
  <c r="I973" i="2"/>
  <c r="J973" i="2" s="1"/>
  <c r="I972" i="2"/>
  <c r="I971" i="2"/>
  <c r="I970" i="2"/>
  <c r="I969" i="2"/>
  <c r="J969" i="2" s="1"/>
  <c r="I968" i="2"/>
  <c r="I967" i="2"/>
  <c r="J967" i="2" s="1"/>
  <c r="I966" i="2"/>
  <c r="I965" i="2"/>
  <c r="I964" i="2"/>
  <c r="J964" i="2" s="1"/>
  <c r="I963" i="2"/>
  <c r="I962" i="2"/>
  <c r="J962" i="2" s="1"/>
  <c r="I961" i="2"/>
  <c r="I960" i="2"/>
  <c r="I959" i="2"/>
  <c r="I958" i="2"/>
  <c r="I957" i="2"/>
  <c r="I956" i="2"/>
  <c r="I955" i="2"/>
  <c r="I954" i="2"/>
  <c r="I949" i="2"/>
  <c r="I948" i="2"/>
  <c r="J948" i="2" s="1"/>
  <c r="I947" i="2"/>
  <c r="I946" i="2"/>
  <c r="J946" i="2" s="1"/>
  <c r="I945" i="2"/>
  <c r="I944" i="2"/>
  <c r="I943" i="2"/>
  <c r="I942" i="2"/>
  <c r="J942" i="2" s="1"/>
  <c r="I941" i="2"/>
  <c r="I940" i="2"/>
  <c r="J940" i="2" s="1"/>
  <c r="I939" i="2"/>
  <c r="I938" i="2"/>
  <c r="J938" i="2" s="1"/>
  <c r="I937" i="2"/>
  <c r="I936" i="2"/>
  <c r="I935" i="2"/>
  <c r="I934" i="2"/>
  <c r="J934" i="2" s="1"/>
  <c r="I933" i="2"/>
  <c r="I932" i="2"/>
  <c r="J932" i="2" s="1"/>
  <c r="I931" i="2"/>
  <c r="I930" i="2"/>
  <c r="J930" i="2" s="1"/>
  <c r="I929" i="2"/>
  <c r="I928" i="2"/>
  <c r="I927" i="2"/>
  <c r="I926" i="2"/>
  <c r="J926" i="2" s="1"/>
  <c r="I925" i="2"/>
  <c r="I924" i="2"/>
  <c r="J924" i="2" s="1"/>
  <c r="I923" i="2"/>
  <c r="I922" i="2"/>
  <c r="J922" i="2" s="1"/>
  <c r="I921" i="2"/>
  <c r="I920" i="2"/>
  <c r="I919" i="2"/>
  <c r="I918" i="2"/>
  <c r="I917" i="2"/>
  <c r="I916" i="2"/>
  <c r="I911" i="2"/>
  <c r="I910" i="2"/>
  <c r="I909" i="2"/>
  <c r="I908" i="2"/>
  <c r="I907" i="2"/>
  <c r="I906" i="2"/>
  <c r="J906" i="2" s="1"/>
  <c r="I905" i="2"/>
  <c r="I904" i="2"/>
  <c r="J904" i="2" s="1"/>
  <c r="I903" i="2"/>
  <c r="I902" i="2"/>
  <c r="J902" i="2" s="1"/>
  <c r="I901" i="2"/>
  <c r="I900" i="2"/>
  <c r="I899" i="2"/>
  <c r="I898" i="2"/>
  <c r="J898" i="2" s="1"/>
  <c r="I897" i="2"/>
  <c r="I896" i="2"/>
  <c r="J896" i="2" s="1"/>
  <c r="I895" i="2"/>
  <c r="I894" i="2"/>
  <c r="J894" i="2" s="1"/>
  <c r="I893" i="2"/>
  <c r="I892" i="2"/>
  <c r="I891" i="2"/>
  <c r="I890" i="2"/>
  <c r="J890" i="2" s="1"/>
  <c r="I889" i="2"/>
  <c r="I888" i="2"/>
  <c r="J888" i="2" s="1"/>
  <c r="I887" i="2"/>
  <c r="I886" i="2"/>
  <c r="J886" i="2" s="1"/>
  <c r="I885" i="2"/>
  <c r="I884" i="2"/>
  <c r="I883" i="2"/>
  <c r="I882" i="2"/>
  <c r="J882" i="2" s="1"/>
  <c r="I881" i="2"/>
  <c r="I880" i="2"/>
  <c r="J880" i="2" s="1"/>
  <c r="I879" i="2"/>
  <c r="I878" i="2"/>
  <c r="J878" i="2" s="1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J841" i="2" s="1"/>
  <c r="I840" i="2"/>
  <c r="I835" i="2"/>
  <c r="I834" i="2"/>
  <c r="J834" i="2" s="1"/>
  <c r="I833" i="2"/>
  <c r="I832" i="2"/>
  <c r="J832" i="2" s="1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J818" i="2" s="1"/>
  <c r="I817" i="2"/>
  <c r="I816" i="2"/>
  <c r="J816" i="2" s="1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797" i="2"/>
  <c r="I796" i="2"/>
  <c r="I795" i="2"/>
  <c r="I794" i="2"/>
  <c r="I793" i="2"/>
  <c r="I792" i="2"/>
  <c r="J791" i="2"/>
  <c r="J790" i="2"/>
  <c r="J789" i="2"/>
  <c r="J788" i="2"/>
  <c r="I787" i="2"/>
  <c r="I786" i="2"/>
  <c r="I785" i="2"/>
  <c r="I784" i="2"/>
  <c r="I783" i="2"/>
  <c r="I782" i="2"/>
  <c r="I781" i="2"/>
  <c r="I780" i="2"/>
  <c r="I779" i="2"/>
  <c r="I778" i="2"/>
  <c r="I777" i="2"/>
  <c r="J777" i="2" s="1"/>
  <c r="I776" i="2"/>
  <c r="I775" i="2"/>
  <c r="J775" i="2" s="1"/>
  <c r="I774" i="2"/>
  <c r="J774" i="2" s="1"/>
  <c r="I773" i="2"/>
  <c r="I772" i="2"/>
  <c r="I771" i="2"/>
  <c r="I770" i="2"/>
  <c r="I769" i="2"/>
  <c r="I768" i="2"/>
  <c r="I767" i="2"/>
  <c r="I766" i="2"/>
  <c r="I765" i="2"/>
  <c r="I764" i="2"/>
  <c r="I759" i="2"/>
  <c r="J759" i="2" s="1"/>
  <c r="I758" i="2"/>
  <c r="J758" i="2" s="1"/>
  <c r="I757" i="2"/>
  <c r="J757" i="2" s="1"/>
  <c r="I756" i="2"/>
  <c r="I755" i="2"/>
  <c r="I754" i="2"/>
  <c r="I753" i="2"/>
  <c r="I752" i="2"/>
  <c r="I751" i="2"/>
  <c r="I750" i="2"/>
  <c r="I749" i="2"/>
  <c r="I748" i="2"/>
  <c r="I747" i="2"/>
  <c r="I746" i="2"/>
  <c r="J746" i="2" s="1"/>
  <c r="I745" i="2"/>
  <c r="I744" i="2"/>
  <c r="J744" i="2" s="1"/>
  <c r="I743" i="2"/>
  <c r="I742" i="2"/>
  <c r="J742" i="2" s="1"/>
  <c r="I741" i="2"/>
  <c r="I740" i="2"/>
  <c r="J740" i="2" s="1"/>
  <c r="I739" i="2"/>
  <c r="I738" i="2"/>
  <c r="J738" i="2" s="1"/>
  <c r="I737" i="2"/>
  <c r="I736" i="2"/>
  <c r="J736" i="2" s="1"/>
  <c r="I735" i="2"/>
  <c r="I734" i="2"/>
  <c r="I733" i="2"/>
  <c r="I732" i="2"/>
  <c r="I731" i="2"/>
  <c r="I730" i="2"/>
  <c r="I729" i="2"/>
  <c r="I728" i="2"/>
  <c r="I727" i="2"/>
  <c r="I726" i="2"/>
  <c r="I721" i="2"/>
  <c r="I720" i="2"/>
  <c r="I719" i="2"/>
  <c r="I718" i="2"/>
  <c r="I717" i="2"/>
  <c r="I716" i="2"/>
  <c r="J716" i="2" s="1"/>
  <c r="I715" i="2"/>
  <c r="I714" i="2"/>
  <c r="I713" i="2"/>
  <c r="I712" i="2"/>
  <c r="I711" i="2"/>
  <c r="I710" i="2"/>
  <c r="I709" i="2"/>
  <c r="I708" i="2"/>
  <c r="J708" i="2" s="1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J669" i="2" s="1"/>
  <c r="I668" i="2"/>
  <c r="I667" i="2"/>
  <c r="J667" i="2" s="1"/>
  <c r="I666" i="2"/>
  <c r="I665" i="2"/>
  <c r="I664" i="2"/>
  <c r="I663" i="2"/>
  <c r="I662" i="2"/>
  <c r="I661" i="2"/>
  <c r="J661" i="2" s="1"/>
  <c r="I660" i="2"/>
  <c r="I659" i="2"/>
  <c r="I658" i="2"/>
  <c r="I657" i="2"/>
  <c r="I656" i="2"/>
  <c r="I655" i="2"/>
  <c r="I654" i="2"/>
  <c r="I653" i="2"/>
  <c r="I652" i="2"/>
  <c r="I651" i="2"/>
  <c r="I650" i="2"/>
  <c r="I645" i="2"/>
  <c r="I644" i="2"/>
  <c r="I643" i="2"/>
  <c r="I642" i="2"/>
  <c r="J642" i="2" s="1"/>
  <c r="I641" i="2"/>
  <c r="I640" i="2"/>
  <c r="I639" i="2"/>
  <c r="I638" i="2"/>
  <c r="I637" i="2"/>
  <c r="I636" i="2"/>
  <c r="I635" i="2"/>
  <c r="I634" i="2"/>
  <c r="J634" i="2" s="1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07" i="2"/>
  <c r="I606" i="2"/>
  <c r="I605" i="2"/>
  <c r="I604" i="2"/>
  <c r="I603" i="2"/>
  <c r="I602" i="2"/>
  <c r="I601" i="2"/>
  <c r="I600" i="2"/>
  <c r="I599" i="2"/>
  <c r="J599" i="2" s="1"/>
  <c r="I598" i="2"/>
  <c r="I597" i="2"/>
  <c r="J597" i="2" s="1"/>
  <c r="I596" i="2"/>
  <c r="I595" i="2"/>
  <c r="I594" i="2"/>
  <c r="I593" i="2"/>
  <c r="I592" i="2"/>
  <c r="I591" i="2"/>
  <c r="J591" i="2" s="1"/>
  <c r="I590" i="2"/>
  <c r="I589" i="2"/>
  <c r="J589" i="2" s="1"/>
  <c r="I588" i="2"/>
  <c r="I587" i="2"/>
  <c r="I586" i="2"/>
  <c r="I585" i="2"/>
  <c r="J585" i="2" s="1"/>
  <c r="I584" i="2"/>
  <c r="I583" i="2"/>
  <c r="I582" i="2"/>
  <c r="I581" i="2"/>
  <c r="I580" i="2"/>
  <c r="I579" i="2"/>
  <c r="J579" i="2" s="1"/>
  <c r="I578" i="2"/>
  <c r="I577" i="2"/>
  <c r="I576" i="2"/>
  <c r="I575" i="2"/>
  <c r="I574" i="2"/>
  <c r="I569" i="2"/>
  <c r="I568" i="2"/>
  <c r="I567" i="2"/>
  <c r="I566" i="2"/>
  <c r="J566" i="2" s="1"/>
  <c r="I565" i="2"/>
  <c r="I564" i="2"/>
  <c r="I563" i="2"/>
  <c r="I562" i="2"/>
  <c r="J562" i="2" s="1"/>
  <c r="I561" i="2"/>
  <c r="I560" i="2"/>
  <c r="J560" i="2" s="1"/>
  <c r="I559" i="2"/>
  <c r="I558" i="2"/>
  <c r="J558" i="2" s="1"/>
  <c r="I557" i="2"/>
  <c r="I556" i="2"/>
  <c r="I555" i="2"/>
  <c r="I554" i="2"/>
  <c r="J554" i="2" s="1"/>
  <c r="I553" i="2"/>
  <c r="I552" i="2"/>
  <c r="J552" i="2" s="1"/>
  <c r="I551" i="2"/>
  <c r="I550" i="2"/>
  <c r="I549" i="2"/>
  <c r="I548" i="2"/>
  <c r="I547" i="2"/>
  <c r="I546" i="2"/>
  <c r="J546" i="2" s="1"/>
  <c r="I545" i="2"/>
  <c r="I544" i="2"/>
  <c r="J544" i="2" s="1"/>
  <c r="I543" i="2"/>
  <c r="I542" i="2"/>
  <c r="J542" i="2" s="1"/>
  <c r="I541" i="2"/>
  <c r="I540" i="2"/>
  <c r="I539" i="2"/>
  <c r="I538" i="2"/>
  <c r="J538" i="2" s="1"/>
  <c r="I537" i="2"/>
  <c r="I536" i="2"/>
  <c r="I531" i="2"/>
  <c r="J531" i="2" s="1"/>
  <c r="I530" i="2"/>
  <c r="I529" i="2"/>
  <c r="J529" i="2" s="1"/>
  <c r="I528" i="2"/>
  <c r="I527" i="2"/>
  <c r="I526" i="2"/>
  <c r="I525" i="2"/>
  <c r="I524" i="2"/>
  <c r="I523" i="2"/>
  <c r="J523" i="2" s="1"/>
  <c r="I522" i="2"/>
  <c r="I521" i="2"/>
  <c r="J521" i="2" s="1"/>
  <c r="I520" i="2"/>
  <c r="I519" i="2"/>
  <c r="J519" i="2" s="1"/>
  <c r="I518" i="2"/>
  <c r="I517" i="2"/>
  <c r="I516" i="2"/>
  <c r="I515" i="2"/>
  <c r="J515" i="2" s="1"/>
  <c r="I514" i="2"/>
  <c r="I513" i="2"/>
  <c r="J513" i="2" s="1"/>
  <c r="I512" i="2"/>
  <c r="I511" i="2"/>
  <c r="I510" i="2"/>
  <c r="I509" i="2"/>
  <c r="I508" i="2"/>
  <c r="I507" i="2"/>
  <c r="J507" i="2" s="1"/>
  <c r="I506" i="2"/>
  <c r="I505" i="2"/>
  <c r="J505" i="2" s="1"/>
  <c r="I504" i="2"/>
  <c r="I503" i="2"/>
  <c r="J503" i="2" s="1"/>
  <c r="I502" i="2"/>
  <c r="I501" i="2"/>
  <c r="I500" i="2"/>
  <c r="I499" i="2"/>
  <c r="J499" i="2" s="1"/>
  <c r="I498" i="2"/>
  <c r="I493" i="2"/>
  <c r="I492" i="2"/>
  <c r="I491" i="2"/>
  <c r="I490" i="2"/>
  <c r="J490" i="2" s="1"/>
  <c r="I489" i="2"/>
  <c r="I488" i="2"/>
  <c r="J488" i="2" s="1"/>
  <c r="I487" i="2"/>
  <c r="I486" i="2"/>
  <c r="J486" i="2" s="1"/>
  <c r="I485" i="2"/>
  <c r="I484" i="2"/>
  <c r="I483" i="2"/>
  <c r="I482" i="2"/>
  <c r="J482" i="2" s="1"/>
  <c r="I481" i="2"/>
  <c r="I480" i="2"/>
  <c r="I479" i="2"/>
  <c r="I478" i="2"/>
  <c r="J478" i="2" s="1"/>
  <c r="I477" i="2"/>
  <c r="I476" i="2"/>
  <c r="I475" i="2"/>
  <c r="I474" i="2"/>
  <c r="J474" i="2" s="1"/>
  <c r="I473" i="2"/>
  <c r="I472" i="2"/>
  <c r="J472" i="2" s="1"/>
  <c r="I471" i="2"/>
  <c r="I470" i="2"/>
  <c r="J470" i="2" s="1"/>
  <c r="I469" i="2"/>
  <c r="I468" i="2"/>
  <c r="I467" i="2"/>
  <c r="I466" i="2"/>
  <c r="J466" i="2" s="1"/>
  <c r="I465" i="2"/>
  <c r="J465" i="2" s="1"/>
  <c r="I464" i="2"/>
  <c r="J464" i="2" s="1"/>
  <c r="I463" i="2"/>
  <c r="I462" i="2"/>
  <c r="I461" i="2"/>
  <c r="I460" i="2"/>
  <c r="J460" i="2" s="1"/>
  <c r="I455" i="2"/>
  <c r="I454" i="2"/>
  <c r="I453" i="2"/>
  <c r="J453" i="2" s="1"/>
  <c r="I452" i="2"/>
  <c r="I451" i="2"/>
  <c r="I450" i="2"/>
  <c r="I449" i="2"/>
  <c r="J449" i="2" s="1"/>
  <c r="I448" i="2"/>
  <c r="I447" i="2"/>
  <c r="I446" i="2"/>
  <c r="J446" i="2" s="1"/>
  <c r="I445" i="2"/>
  <c r="J445" i="2" s="1"/>
  <c r="I444" i="2"/>
  <c r="I443" i="2"/>
  <c r="I442" i="2"/>
  <c r="J442" i="2" s="1"/>
  <c r="I441" i="2"/>
  <c r="J441" i="2" s="1"/>
  <c r="I440" i="2"/>
  <c r="I439" i="2"/>
  <c r="I438" i="2"/>
  <c r="J438" i="2" s="1"/>
  <c r="I437" i="2"/>
  <c r="J437" i="2" s="1"/>
  <c r="I436" i="2"/>
  <c r="I435" i="2"/>
  <c r="I434" i="2"/>
  <c r="I433" i="2"/>
  <c r="J433" i="2" s="1"/>
  <c r="I432" i="2"/>
  <c r="I431" i="2"/>
  <c r="I430" i="2"/>
  <c r="J430" i="2" s="1"/>
  <c r="I429" i="2"/>
  <c r="J429" i="2" s="1"/>
  <c r="I428" i="2"/>
  <c r="I427" i="2"/>
  <c r="I426" i="2"/>
  <c r="I425" i="2"/>
  <c r="J425" i="2" s="1"/>
  <c r="I424" i="2"/>
  <c r="I423" i="2"/>
  <c r="I422" i="2"/>
  <c r="J422" i="2" s="1"/>
  <c r="I417" i="2"/>
  <c r="I416" i="2"/>
  <c r="I415" i="2"/>
  <c r="I414" i="2"/>
  <c r="J414" i="2" s="1"/>
  <c r="I413" i="2"/>
  <c r="I412" i="2"/>
  <c r="I411" i="2"/>
  <c r="I410" i="2"/>
  <c r="J410" i="2" s="1"/>
  <c r="I409" i="2"/>
  <c r="I408" i="2"/>
  <c r="I407" i="2"/>
  <c r="J407" i="2" s="1"/>
  <c r="I406" i="2"/>
  <c r="J406" i="2" s="1"/>
  <c r="I405" i="2"/>
  <c r="I404" i="2"/>
  <c r="I403" i="2"/>
  <c r="J403" i="2" s="1"/>
  <c r="I402" i="2"/>
  <c r="J402" i="2" s="1"/>
  <c r="I401" i="2"/>
  <c r="I400" i="2"/>
  <c r="I399" i="2"/>
  <c r="I398" i="2"/>
  <c r="J398" i="2" s="1"/>
  <c r="I397" i="2"/>
  <c r="I396" i="2"/>
  <c r="I395" i="2"/>
  <c r="J395" i="2" s="1"/>
  <c r="I394" i="2"/>
  <c r="J394" i="2" s="1"/>
  <c r="I393" i="2"/>
  <c r="I392" i="2"/>
  <c r="I391" i="2"/>
  <c r="J391" i="2" s="1"/>
  <c r="I390" i="2"/>
  <c r="J390" i="2" s="1"/>
  <c r="I389" i="2"/>
  <c r="I388" i="2"/>
  <c r="I387" i="2"/>
  <c r="I386" i="2"/>
  <c r="I385" i="2"/>
  <c r="I384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J354" i="2" s="1"/>
  <c r="I353" i="2"/>
  <c r="I352" i="2"/>
  <c r="I351" i="2"/>
  <c r="I350" i="2"/>
  <c r="I349" i="2"/>
  <c r="I348" i="2"/>
  <c r="I347" i="2"/>
  <c r="I341" i="2"/>
  <c r="I340" i="2"/>
  <c r="I339" i="2"/>
  <c r="J339" i="2" s="1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J280" i="2" s="1"/>
  <c r="I279" i="2"/>
  <c r="I278" i="2"/>
  <c r="I277" i="2"/>
  <c r="I276" i="2"/>
  <c r="I275" i="2"/>
  <c r="I274" i="2"/>
  <c r="I273" i="2"/>
  <c r="I272" i="2"/>
  <c r="I271" i="2"/>
  <c r="I270" i="2"/>
  <c r="I265" i="2"/>
  <c r="I264" i="2"/>
  <c r="I263" i="2"/>
  <c r="I262" i="2"/>
  <c r="I261" i="2"/>
  <c r="J261" i="2" s="1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J208" i="2" s="1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1" i="2"/>
  <c r="I150" i="2"/>
  <c r="I149" i="2"/>
  <c r="I148" i="2"/>
  <c r="I147" i="2"/>
  <c r="I146" i="2"/>
  <c r="I145" i="2"/>
  <c r="I144" i="2"/>
  <c r="J144" i="2" s="1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U113" i="2"/>
  <c r="O113" i="2"/>
  <c r="I113" i="2"/>
  <c r="J113" i="2" s="1"/>
  <c r="U112" i="2"/>
  <c r="V112" i="2" s="1"/>
  <c r="O112" i="2"/>
  <c r="I112" i="2"/>
  <c r="U111" i="2"/>
  <c r="V111" i="2" s="1"/>
  <c r="O111" i="2"/>
  <c r="I111" i="2"/>
  <c r="U110" i="2"/>
  <c r="O110" i="2"/>
  <c r="P110" i="2" s="1"/>
  <c r="I110" i="2"/>
  <c r="U109" i="2"/>
  <c r="O109" i="2"/>
  <c r="I109" i="2"/>
  <c r="J109" i="2" s="1"/>
  <c r="U108" i="2"/>
  <c r="V108" i="2" s="1"/>
  <c r="O108" i="2"/>
  <c r="I108" i="2"/>
  <c r="U107" i="2"/>
  <c r="V107" i="2" s="1"/>
  <c r="O107" i="2"/>
  <c r="I107" i="2"/>
  <c r="U106" i="2"/>
  <c r="O106" i="2"/>
  <c r="P106" i="2" s="1"/>
  <c r="I106" i="2"/>
  <c r="U105" i="2"/>
  <c r="O105" i="2"/>
  <c r="I105" i="2"/>
  <c r="J105" i="2" s="1"/>
  <c r="Z35" i="2" s="1"/>
  <c r="U104" i="2"/>
  <c r="O104" i="2"/>
  <c r="I104" i="2"/>
  <c r="U103" i="2"/>
  <c r="V103" i="2" s="1"/>
  <c r="O103" i="2"/>
  <c r="P103" i="2" s="1"/>
  <c r="I103" i="2"/>
  <c r="U102" i="2"/>
  <c r="O102" i="2"/>
  <c r="P102" i="2" s="1"/>
  <c r="I102" i="2"/>
  <c r="J102" i="2" s="1"/>
  <c r="U101" i="2"/>
  <c r="O101" i="2"/>
  <c r="I101" i="2"/>
  <c r="J101" i="2" s="1"/>
  <c r="U100" i="2"/>
  <c r="O100" i="2"/>
  <c r="I100" i="2"/>
  <c r="U99" i="2"/>
  <c r="V99" i="2" s="1"/>
  <c r="AH32" i="2" s="1"/>
  <c r="O99" i="2"/>
  <c r="I99" i="2"/>
  <c r="U98" i="2"/>
  <c r="O98" i="2"/>
  <c r="P98" i="2" s="1"/>
  <c r="I98" i="2"/>
  <c r="J98" i="2" s="1"/>
  <c r="U97" i="2"/>
  <c r="O97" i="2"/>
  <c r="I97" i="2"/>
  <c r="J97" i="2" s="1"/>
  <c r="U96" i="2"/>
  <c r="O96" i="2"/>
  <c r="I96" i="2"/>
  <c r="U95" i="2"/>
  <c r="V95" i="2" s="1"/>
  <c r="O95" i="2"/>
  <c r="I95" i="2"/>
  <c r="U94" i="2"/>
  <c r="O94" i="2"/>
  <c r="P94" i="2" s="1"/>
  <c r="I94" i="2"/>
  <c r="U93" i="2"/>
  <c r="O93" i="2"/>
  <c r="I93" i="2"/>
  <c r="J93" i="2" s="1"/>
  <c r="U92" i="2"/>
  <c r="O92" i="2"/>
  <c r="I92" i="2"/>
  <c r="U91" i="2"/>
  <c r="V91" i="2" s="1"/>
  <c r="O91" i="2"/>
  <c r="P91" i="2" s="1"/>
  <c r="I91" i="2"/>
  <c r="U90" i="2"/>
  <c r="O90" i="2"/>
  <c r="P90" i="2" s="1"/>
  <c r="I90" i="2"/>
  <c r="J90" i="2" s="1"/>
  <c r="U89" i="2"/>
  <c r="O89" i="2"/>
  <c r="I89" i="2"/>
  <c r="J89" i="2" s="1"/>
  <c r="U88" i="2"/>
  <c r="V88" i="2" s="1"/>
  <c r="O88" i="2"/>
  <c r="I88" i="2"/>
  <c r="U87" i="2"/>
  <c r="V87" i="2" s="1"/>
  <c r="O87" i="2"/>
  <c r="I87" i="2"/>
  <c r="U86" i="2"/>
  <c r="O86" i="2"/>
  <c r="P86" i="2" s="1"/>
  <c r="I86" i="2"/>
  <c r="U85" i="2"/>
  <c r="O85" i="2"/>
  <c r="I85" i="2"/>
  <c r="J85" i="2" s="1"/>
  <c r="U84" i="2"/>
  <c r="O84" i="2"/>
  <c r="P84" i="2" s="1"/>
  <c r="I84" i="2"/>
  <c r="U83" i="2"/>
  <c r="V83" i="2" s="1"/>
  <c r="O83" i="2"/>
  <c r="I83" i="2"/>
  <c r="U82" i="2"/>
  <c r="O82" i="2"/>
  <c r="P82" i="2" s="1"/>
  <c r="I82" i="2"/>
  <c r="J82" i="2" s="1"/>
  <c r="U81" i="2"/>
  <c r="O81" i="2"/>
  <c r="I81" i="2"/>
  <c r="J81" i="2" s="1"/>
  <c r="U80" i="2"/>
  <c r="O80" i="2"/>
  <c r="I80" i="2"/>
  <c r="U75" i="2"/>
  <c r="O75" i="2"/>
  <c r="I75" i="2"/>
  <c r="J75" i="2" s="1"/>
  <c r="U74" i="2"/>
  <c r="O74" i="2"/>
  <c r="I74" i="2"/>
  <c r="U73" i="2"/>
  <c r="V73" i="2" s="1"/>
  <c r="O73" i="2"/>
  <c r="I73" i="2"/>
  <c r="U72" i="2"/>
  <c r="O72" i="2"/>
  <c r="P72" i="2" s="1"/>
  <c r="I72" i="2"/>
  <c r="J72" i="2" s="1"/>
  <c r="U71" i="2"/>
  <c r="O71" i="2"/>
  <c r="I71" i="2"/>
  <c r="J71" i="2" s="1"/>
  <c r="U70" i="2"/>
  <c r="O70" i="2"/>
  <c r="I70" i="2"/>
  <c r="U69" i="2"/>
  <c r="V69" i="2" s="1"/>
  <c r="O69" i="2"/>
  <c r="I69" i="2"/>
  <c r="U68" i="2"/>
  <c r="O68" i="2"/>
  <c r="P68" i="2" s="1"/>
  <c r="I68" i="2"/>
  <c r="U67" i="2"/>
  <c r="O67" i="2"/>
  <c r="I67" i="2"/>
  <c r="J67" i="2" s="1"/>
  <c r="U66" i="2"/>
  <c r="O66" i="2"/>
  <c r="I66" i="2"/>
  <c r="U65" i="2"/>
  <c r="V65" i="2" s="1"/>
  <c r="O65" i="2"/>
  <c r="P65" i="2" s="1"/>
  <c r="I65" i="2"/>
  <c r="U64" i="2"/>
  <c r="O64" i="2"/>
  <c r="P64" i="2" s="1"/>
  <c r="I64" i="2"/>
  <c r="U63" i="2"/>
  <c r="O63" i="2"/>
  <c r="I63" i="2"/>
  <c r="J63" i="2" s="1"/>
  <c r="U62" i="2"/>
  <c r="O62" i="2"/>
  <c r="I62" i="2"/>
  <c r="U61" i="2"/>
  <c r="V61" i="2" s="1"/>
  <c r="O61" i="2"/>
  <c r="I61" i="2"/>
  <c r="U60" i="2"/>
  <c r="O60" i="2"/>
  <c r="P60" i="2" s="1"/>
  <c r="I60" i="2"/>
  <c r="U59" i="2"/>
  <c r="O59" i="2"/>
  <c r="I59" i="2"/>
  <c r="J59" i="2" s="1"/>
  <c r="U58" i="2"/>
  <c r="V58" i="2" s="1"/>
  <c r="O58" i="2"/>
  <c r="I58" i="2"/>
  <c r="U57" i="2"/>
  <c r="O57" i="2"/>
  <c r="P57" i="2" s="1"/>
  <c r="I57" i="2"/>
  <c r="J57" i="2" s="1"/>
  <c r="U56" i="2"/>
  <c r="V56" i="2" s="1"/>
  <c r="O56" i="2"/>
  <c r="I56" i="2"/>
  <c r="U55" i="2"/>
  <c r="O55" i="2"/>
  <c r="P55" i="2" s="1"/>
  <c r="I55" i="2"/>
  <c r="J55" i="2" s="1"/>
  <c r="U54" i="2"/>
  <c r="V54" i="2" s="1"/>
  <c r="O54" i="2"/>
  <c r="I54" i="2"/>
  <c r="U53" i="2"/>
  <c r="O53" i="2"/>
  <c r="P53" i="2" s="1"/>
  <c r="I53" i="2"/>
  <c r="J53" i="2" s="1"/>
  <c r="U52" i="2"/>
  <c r="V52" i="2" s="1"/>
  <c r="O52" i="2"/>
  <c r="I52" i="2"/>
  <c r="U51" i="2"/>
  <c r="O51" i="2"/>
  <c r="I51" i="2"/>
  <c r="U50" i="2"/>
  <c r="V50" i="2" s="1"/>
  <c r="O50" i="2"/>
  <c r="I50" i="2"/>
  <c r="U49" i="2"/>
  <c r="O49" i="2"/>
  <c r="I49" i="2"/>
  <c r="U48" i="2"/>
  <c r="O48" i="2"/>
  <c r="I48" i="2"/>
  <c r="U47" i="2"/>
  <c r="V47" i="2" s="1"/>
  <c r="O47" i="2"/>
  <c r="I47" i="2"/>
  <c r="U46" i="2"/>
  <c r="O46" i="2"/>
  <c r="I46" i="2"/>
  <c r="U45" i="2"/>
  <c r="O45" i="2"/>
  <c r="P45" i="2" s="1"/>
  <c r="I45" i="2"/>
  <c r="J45" i="2" s="1"/>
  <c r="U44" i="2"/>
  <c r="V44" i="2" s="1"/>
  <c r="O44" i="2"/>
  <c r="I44" i="2"/>
  <c r="U43" i="2"/>
  <c r="O43" i="2"/>
  <c r="P43" i="2" s="1"/>
  <c r="I43" i="2"/>
  <c r="U42" i="2"/>
  <c r="O42" i="2"/>
  <c r="P42" i="2" s="1"/>
  <c r="I42" i="2"/>
  <c r="J42" i="2" s="1"/>
  <c r="U37" i="2"/>
  <c r="O37" i="2"/>
  <c r="P37" i="2" s="1"/>
  <c r="I37" i="2"/>
  <c r="U36" i="2"/>
  <c r="O36" i="2"/>
  <c r="I36" i="2"/>
  <c r="U35" i="2"/>
  <c r="V35" i="2" s="1"/>
  <c r="O35" i="2"/>
  <c r="I35" i="2"/>
  <c r="U34" i="2"/>
  <c r="O34" i="2"/>
  <c r="I34" i="2"/>
  <c r="J34" i="2" s="1"/>
  <c r="U33" i="2"/>
  <c r="O33" i="2"/>
  <c r="P33" i="2" s="1"/>
  <c r="I33" i="2"/>
  <c r="J33" i="2" s="1"/>
  <c r="U32" i="2"/>
  <c r="V32" i="2" s="1"/>
  <c r="O32" i="2"/>
  <c r="I32" i="2"/>
  <c r="U31" i="2"/>
  <c r="O31" i="2"/>
  <c r="I31" i="2"/>
  <c r="U30" i="2"/>
  <c r="V30" i="2" s="1"/>
  <c r="O30" i="2"/>
  <c r="I30" i="2"/>
  <c r="U29" i="2"/>
  <c r="V29" i="2" s="1"/>
  <c r="O29" i="2"/>
  <c r="I29" i="2"/>
  <c r="U28" i="2"/>
  <c r="V28" i="2" s="1"/>
  <c r="O28" i="2"/>
  <c r="I28" i="2"/>
  <c r="U27" i="2"/>
  <c r="O27" i="2"/>
  <c r="I27" i="2"/>
  <c r="J27" i="2" s="1"/>
  <c r="U26" i="2"/>
  <c r="O26" i="2"/>
  <c r="I26" i="2"/>
  <c r="J26" i="2" s="1"/>
  <c r="U25" i="2"/>
  <c r="O25" i="2"/>
  <c r="I25" i="2"/>
  <c r="J25" i="2" s="1"/>
  <c r="U24" i="2"/>
  <c r="V24" i="2" s="1"/>
  <c r="AH15" i="2" s="1"/>
  <c r="O24" i="2"/>
  <c r="I24" i="2"/>
  <c r="U23" i="2"/>
  <c r="V23" i="2" s="1"/>
  <c r="O23" i="2"/>
  <c r="I23" i="2"/>
  <c r="U22" i="2"/>
  <c r="O22" i="2"/>
  <c r="P22" i="2" s="1"/>
  <c r="I22" i="2"/>
  <c r="U21" i="2"/>
  <c r="O21" i="2"/>
  <c r="P21" i="2" s="1"/>
  <c r="I21" i="2"/>
  <c r="J21" i="2" s="1"/>
  <c r="U20" i="2"/>
  <c r="O20" i="2"/>
  <c r="P20" i="2" s="1"/>
  <c r="I20" i="2"/>
  <c r="U19" i="2"/>
  <c r="O19" i="2"/>
  <c r="P19" i="2" s="1"/>
  <c r="I19" i="2"/>
  <c r="J19" i="2" s="1"/>
  <c r="U18" i="2"/>
  <c r="O18" i="2"/>
  <c r="P18" i="2" s="1"/>
  <c r="I18" i="2"/>
  <c r="J18" i="2" s="1"/>
  <c r="U17" i="2"/>
  <c r="O17" i="2"/>
  <c r="P17" i="2" s="1"/>
  <c r="I17" i="2"/>
  <c r="U16" i="2"/>
  <c r="O16" i="2"/>
  <c r="P16" i="2" s="1"/>
  <c r="I16" i="2"/>
  <c r="J16" i="2" s="1"/>
  <c r="U15" i="2"/>
  <c r="O15" i="2"/>
  <c r="P15" i="2" s="1"/>
  <c r="I15" i="2"/>
  <c r="U14" i="2"/>
  <c r="V14" i="2" s="1"/>
  <c r="O14" i="2"/>
  <c r="I14" i="2"/>
  <c r="U13" i="2"/>
  <c r="O13" i="2"/>
  <c r="I13" i="2"/>
  <c r="J13" i="2" s="1"/>
  <c r="U12" i="2"/>
  <c r="O12" i="2"/>
  <c r="P12" i="2" s="1"/>
  <c r="I12" i="2"/>
  <c r="J12" i="2" s="1"/>
  <c r="U11" i="2"/>
  <c r="O11" i="2"/>
  <c r="P11" i="2" s="1"/>
  <c r="AD21" i="2" s="1"/>
  <c r="I11" i="2"/>
  <c r="U10" i="2"/>
  <c r="O10" i="2"/>
  <c r="P10" i="2" s="1"/>
  <c r="I10" i="2"/>
  <c r="U9" i="2"/>
  <c r="V9" i="2" s="1"/>
  <c r="O9" i="2"/>
  <c r="I9" i="2"/>
  <c r="U8" i="2"/>
  <c r="V8" i="2" s="1"/>
  <c r="O8" i="2"/>
  <c r="I8" i="2"/>
  <c r="U7" i="2"/>
  <c r="V7" i="2" s="1"/>
  <c r="O7" i="2"/>
  <c r="P7" i="2" s="1"/>
  <c r="I7" i="2"/>
  <c r="U6" i="2"/>
  <c r="O6" i="2"/>
  <c r="I6" i="2"/>
  <c r="U5" i="2"/>
  <c r="O5" i="2"/>
  <c r="I5" i="2"/>
  <c r="J5" i="2" s="1"/>
  <c r="U4" i="2"/>
  <c r="O4" i="2"/>
  <c r="I4" i="2"/>
  <c r="AN20" i="1"/>
  <c r="AN35" i="1"/>
  <c r="AN25" i="1"/>
  <c r="AM6" i="1"/>
  <c r="AT35" i="1"/>
  <c r="AT33" i="1"/>
  <c r="AT34" i="1" s="1"/>
  <c r="AT22" i="1"/>
  <c r="AT14" i="1"/>
  <c r="AQ35" i="1"/>
  <c r="AQ33" i="1"/>
  <c r="AQ34" i="1" s="1"/>
  <c r="AP28" i="1"/>
  <c r="AR28" i="1"/>
  <c r="AS28" i="1"/>
  <c r="AS34" i="1" s="1"/>
  <c r="AQ22" i="1"/>
  <c r="AQ14" i="1"/>
  <c r="AT32" i="1"/>
  <c r="AT31" i="1"/>
  <c r="AT19" i="1"/>
  <c r="AT18" i="1"/>
  <c r="AT16" i="1"/>
  <c r="AT11" i="1"/>
  <c r="AT9" i="1"/>
  <c r="AT7" i="1"/>
  <c r="AT4" i="1"/>
  <c r="AQ32" i="1"/>
  <c r="AQ31" i="1"/>
  <c r="AQ30" i="1"/>
  <c r="AQ19" i="1"/>
  <c r="AQ18" i="1"/>
  <c r="AQ16" i="1"/>
  <c r="AQ11" i="1"/>
  <c r="AQ10" i="1"/>
  <c r="AQ9" i="1"/>
  <c r="AQ7" i="1"/>
  <c r="AP5" i="1"/>
  <c r="AQ5" i="1"/>
  <c r="AQ4" i="1"/>
  <c r="AU28" i="1"/>
  <c r="AS33" i="1"/>
  <c r="AS32" i="1"/>
  <c r="AS31" i="1"/>
  <c r="AS19" i="1"/>
  <c r="AS18" i="1"/>
  <c r="AS16" i="1"/>
  <c r="AS11" i="1"/>
  <c r="AS9" i="1"/>
  <c r="AS14" i="1" s="1"/>
  <c r="AS7" i="1"/>
  <c r="AS4" i="1"/>
  <c r="AP32" i="1"/>
  <c r="AP31" i="1"/>
  <c r="AP30" i="1"/>
  <c r="AP19" i="1"/>
  <c r="AP18" i="1"/>
  <c r="AP16" i="1"/>
  <c r="AP11" i="1"/>
  <c r="AP10" i="1"/>
  <c r="AP9" i="1"/>
  <c r="AP7" i="1"/>
  <c r="AP4" i="1"/>
  <c r="AN32" i="1"/>
  <c r="AN31" i="1"/>
  <c r="AN30" i="1"/>
  <c r="AN29" i="1"/>
  <c r="AN27" i="1"/>
  <c r="AN26" i="1"/>
  <c r="AN24" i="1"/>
  <c r="AN23" i="1"/>
  <c r="AN21" i="1"/>
  <c r="AN19" i="1"/>
  <c r="AN18" i="1"/>
  <c r="AN17" i="1"/>
  <c r="AN16" i="1"/>
  <c r="AN15" i="1"/>
  <c r="AN13" i="1"/>
  <c r="AN12" i="1"/>
  <c r="AN11" i="1"/>
  <c r="AN10" i="1"/>
  <c r="AN9" i="1"/>
  <c r="AN8" i="1"/>
  <c r="AN7" i="1"/>
  <c r="AN6" i="1"/>
  <c r="AN5" i="1"/>
  <c r="AN4" i="1"/>
  <c r="AN33" i="1"/>
  <c r="AN28" i="1"/>
  <c r="AN22" i="1"/>
  <c r="AM32" i="1"/>
  <c r="AM31" i="1"/>
  <c r="AM30" i="1"/>
  <c r="AM29" i="1"/>
  <c r="AM27" i="1"/>
  <c r="AM26" i="1"/>
  <c r="AM25" i="1"/>
  <c r="AM24" i="1"/>
  <c r="AM23" i="1"/>
  <c r="AM21" i="1"/>
  <c r="AM20" i="1"/>
  <c r="AM19" i="1"/>
  <c r="AM18" i="1"/>
  <c r="AM17" i="1"/>
  <c r="AM16" i="1"/>
  <c r="AM15" i="1"/>
  <c r="AM22" i="1" s="1"/>
  <c r="AN14" i="1"/>
  <c r="AM13" i="1"/>
  <c r="AM12" i="1"/>
  <c r="AM11" i="1"/>
  <c r="AM9" i="1"/>
  <c r="AM10" i="1"/>
  <c r="AM8" i="1"/>
  <c r="AM7" i="1"/>
  <c r="AM5" i="1"/>
  <c r="AM4" i="1"/>
  <c r="AM14" i="1" s="1"/>
  <c r="P66" i="2" l="1"/>
  <c r="P73" i="2"/>
  <c r="J237" i="2"/>
  <c r="J564" i="2"/>
  <c r="J1073" i="2"/>
  <c r="P87" i="2"/>
  <c r="J200" i="2"/>
  <c r="J272" i="2"/>
  <c r="J618" i="2"/>
  <c r="J783" i="2"/>
  <c r="J806" i="2"/>
  <c r="P48" i="2"/>
  <c r="AE10" i="2" s="1"/>
  <c r="AF10" i="2" s="1"/>
  <c r="V51" i="2"/>
  <c r="J1150" i="2"/>
  <c r="J245" i="2"/>
  <c r="J323" i="2"/>
  <c r="J822" i="2"/>
  <c r="P9" i="2"/>
  <c r="AD9" i="2" s="1"/>
  <c r="V34" i="2"/>
  <c r="J288" i="2"/>
  <c r="J1055" i="2"/>
  <c r="J1170" i="2"/>
  <c r="P28" i="2"/>
  <c r="P29" i="2"/>
  <c r="AD35" i="2" s="1"/>
  <c r="V31" i="2"/>
  <c r="P32" i="2"/>
  <c r="AD17" i="2" s="1"/>
  <c r="J60" i="2"/>
  <c r="J86" i="2"/>
  <c r="V113" i="2"/>
  <c r="J120" i="2"/>
  <c r="J224" i="2"/>
  <c r="J253" i="2"/>
  <c r="J331" i="2"/>
  <c r="J577" i="2"/>
  <c r="J605" i="2"/>
  <c r="J1106" i="2"/>
  <c r="V36" i="2"/>
  <c r="V66" i="2"/>
  <c r="P99" i="2"/>
  <c r="J216" i="2"/>
  <c r="J1061" i="2"/>
  <c r="P35" i="2"/>
  <c r="J37" i="2"/>
  <c r="J43" i="2"/>
  <c r="V62" i="2"/>
  <c r="P74" i="2"/>
  <c r="V101" i="2"/>
  <c r="J149" i="2"/>
  <c r="J206" i="2"/>
  <c r="J222" i="2"/>
  <c r="J239" i="2"/>
  <c r="J255" i="2"/>
  <c r="J278" i="2"/>
  <c r="J294" i="2"/>
  <c r="J321" i="2"/>
  <c r="J337" i="2"/>
  <c r="J350" i="2"/>
  <c r="J467" i="2"/>
  <c r="J603" i="2"/>
  <c r="J616" i="2"/>
  <c r="J640" i="2"/>
  <c r="J714" i="2"/>
  <c r="J731" i="2"/>
  <c r="J779" i="2"/>
  <c r="J792" i="2"/>
  <c r="J1053" i="2"/>
  <c r="J1085" i="2"/>
  <c r="V49" i="2"/>
  <c r="P61" i="2"/>
  <c r="V67" i="2"/>
  <c r="V70" i="2"/>
  <c r="V74" i="2"/>
  <c r="V92" i="2"/>
  <c r="J103" i="2"/>
  <c r="J107" i="2"/>
  <c r="Z16" i="2" s="1"/>
  <c r="P111" i="2"/>
  <c r="J136" i="2"/>
  <c r="J198" i="2"/>
  <c r="J214" i="2"/>
  <c r="J247" i="2"/>
  <c r="J263" i="2"/>
  <c r="J270" i="2"/>
  <c r="J286" i="2"/>
  <c r="J329" i="2"/>
  <c r="J461" i="2"/>
  <c r="J632" i="2"/>
  <c r="J659" i="2"/>
  <c r="J706" i="2"/>
  <c r="J812" i="2"/>
  <c r="J828" i="2"/>
  <c r="J847" i="2"/>
  <c r="J857" i="2"/>
  <c r="J863" i="2"/>
  <c r="J869" i="2"/>
  <c r="J1057" i="2"/>
  <c r="J1063" i="2"/>
  <c r="P24" i="2"/>
  <c r="J292" i="2"/>
  <c r="AA33" i="2" s="1"/>
  <c r="AB33" i="2" s="1"/>
  <c r="J335" i="2"/>
  <c r="J624" i="2"/>
  <c r="J651" i="2"/>
  <c r="J698" i="2"/>
  <c r="J892" i="2"/>
  <c r="J1000" i="2"/>
  <c r="J1051" i="2"/>
  <c r="J1086" i="2"/>
  <c r="J1154" i="2"/>
  <c r="J4" i="2"/>
  <c r="J7" i="2"/>
  <c r="V46" i="2"/>
  <c r="P47" i="2"/>
  <c r="J64" i="2"/>
  <c r="V75" i="2"/>
  <c r="J94" i="2"/>
  <c r="V96" i="2"/>
  <c r="V105" i="2"/>
  <c r="J110" i="2"/>
  <c r="J235" i="2"/>
  <c r="J251" i="2"/>
  <c r="J352" i="2"/>
  <c r="J511" i="2"/>
  <c r="J550" i="2"/>
  <c r="J583" i="2"/>
  <c r="J908" i="2"/>
  <c r="J936" i="2"/>
  <c r="J963" i="2"/>
  <c r="J1031" i="2"/>
  <c r="J1077" i="2"/>
  <c r="J1098" i="2"/>
  <c r="J1126" i="2"/>
  <c r="J1151" i="2"/>
  <c r="J1166" i="2"/>
  <c r="J140" i="2"/>
  <c r="J204" i="2"/>
  <c r="J220" i="2"/>
  <c r="J276" i="2"/>
  <c r="J454" i="2"/>
  <c r="J853" i="2"/>
  <c r="J965" i="2"/>
  <c r="J1016" i="2"/>
  <c r="J1034" i="2"/>
  <c r="J1101" i="2"/>
  <c r="J1129" i="2"/>
  <c r="P14" i="2"/>
  <c r="P108" i="2"/>
  <c r="J138" i="2"/>
  <c r="J196" i="2"/>
  <c r="J212" i="2"/>
  <c r="J284" i="2"/>
  <c r="J327" i="2"/>
  <c r="J626" i="2"/>
  <c r="J653" i="2"/>
  <c r="J692" i="2"/>
  <c r="J700" i="2"/>
  <c r="J782" i="2"/>
  <c r="J851" i="2"/>
  <c r="J867" i="2"/>
  <c r="J884" i="2"/>
  <c r="J900" i="2"/>
  <c r="J961" i="2"/>
  <c r="J981" i="2"/>
  <c r="J1008" i="2"/>
  <c r="J1024" i="2"/>
  <c r="J1138" i="2"/>
  <c r="J1163" i="2"/>
  <c r="J147" i="2"/>
  <c r="J690" i="2"/>
  <c r="J793" i="2"/>
  <c r="P95" i="2"/>
  <c r="AE25" i="2" s="1"/>
  <c r="AF25" i="2" s="1"/>
  <c r="P100" i="2"/>
  <c r="J143" i="2"/>
  <c r="J243" i="2"/>
  <c r="J259" i="2"/>
  <c r="J411" i="2"/>
  <c r="J480" i="2"/>
  <c r="J527" i="2"/>
  <c r="J575" i="2"/>
  <c r="J928" i="2"/>
  <c r="J944" i="2"/>
  <c r="J1059" i="2"/>
  <c r="J1089" i="2"/>
  <c r="J1110" i="2"/>
  <c r="J145" i="2"/>
  <c r="J194" i="2"/>
  <c r="J202" i="2"/>
  <c r="J210" i="2"/>
  <c r="J218" i="2"/>
  <c r="J226" i="2"/>
  <c r="J233" i="2"/>
  <c r="J241" i="2"/>
  <c r="J249" i="2"/>
  <c r="J257" i="2"/>
  <c r="J265" i="2"/>
  <c r="J274" i="2"/>
  <c r="J282" i="2"/>
  <c r="J290" i="2"/>
  <c r="J325" i="2"/>
  <c r="J333" i="2"/>
  <c r="J341" i="2"/>
  <c r="J622" i="2"/>
  <c r="J778" i="2"/>
  <c r="J784" i="2"/>
  <c r="J873" i="2"/>
  <c r="J1039" i="2"/>
  <c r="J1049" i="2"/>
  <c r="J1069" i="2"/>
  <c r="I190" i="2"/>
  <c r="J348" i="2"/>
  <c r="J170" i="2"/>
  <c r="J201" i="2"/>
  <c r="J217" i="2"/>
  <c r="J223" i="2"/>
  <c r="J258" i="2"/>
  <c r="J262" i="2"/>
  <c r="J367" i="2"/>
  <c r="J375" i="2"/>
  <c r="J509" i="2"/>
  <c r="J525" i="2"/>
  <c r="J540" i="2"/>
  <c r="J556" i="2"/>
  <c r="J593" i="2"/>
  <c r="J638" i="2"/>
  <c r="J675" i="2"/>
  <c r="J679" i="2"/>
  <c r="J683" i="2"/>
  <c r="J752" i="2"/>
  <c r="J795" i="2"/>
  <c r="J861" i="2"/>
  <c r="J987" i="2"/>
  <c r="J1094" i="2"/>
  <c r="J1134" i="2"/>
  <c r="V6" i="2"/>
  <c r="P8" i="2"/>
  <c r="AD8" i="2" s="1"/>
  <c r="J11" i="2"/>
  <c r="J22" i="2"/>
  <c r="P23" i="2"/>
  <c r="V27" i="2"/>
  <c r="P30" i="2"/>
  <c r="AD39" i="2" s="1"/>
  <c r="P36" i="2"/>
  <c r="AD19" i="2" s="1"/>
  <c r="P44" i="2"/>
  <c r="P46" i="2"/>
  <c r="V48" i="2"/>
  <c r="P50" i="2"/>
  <c r="P51" i="2"/>
  <c r="P52" i="2"/>
  <c r="P54" i="2"/>
  <c r="P56" i="2"/>
  <c r="AD14" i="2" s="1"/>
  <c r="P58" i="2"/>
  <c r="J65" i="2"/>
  <c r="J68" i="2"/>
  <c r="P69" i="2"/>
  <c r="J73" i="2"/>
  <c r="V80" i="2"/>
  <c r="P83" i="2"/>
  <c r="U114" i="2"/>
  <c r="V85" i="2"/>
  <c r="J87" i="2"/>
  <c r="AH21" i="2" s="1"/>
  <c r="P92" i="2"/>
  <c r="V100" i="2"/>
  <c r="V104" i="2"/>
  <c r="J106" i="2"/>
  <c r="P107" i="2"/>
  <c r="V109" i="2"/>
  <c r="J111" i="2"/>
  <c r="J121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71" i="2"/>
  <c r="J175" i="2"/>
  <c r="J179" i="2"/>
  <c r="J183" i="2"/>
  <c r="J186" i="2"/>
  <c r="J188" i="2"/>
  <c r="J195" i="2"/>
  <c r="J203" i="2"/>
  <c r="J211" i="2"/>
  <c r="J219" i="2"/>
  <c r="J234" i="2"/>
  <c r="J238" i="2"/>
  <c r="J242" i="2"/>
  <c r="J246" i="2"/>
  <c r="J273" i="2"/>
  <c r="J277" i="2"/>
  <c r="J281" i="2"/>
  <c r="J285" i="2"/>
  <c r="J289" i="2"/>
  <c r="J293" i="2"/>
  <c r="J303" i="2"/>
  <c r="J312" i="2"/>
  <c r="J320" i="2"/>
  <c r="J324" i="2"/>
  <c r="J328" i="2"/>
  <c r="J332" i="2"/>
  <c r="J336" i="2"/>
  <c r="J340" i="2"/>
  <c r="J349" i="2"/>
  <c r="J353" i="2"/>
  <c r="J174" i="2"/>
  <c r="J178" i="2"/>
  <c r="J182" i="2"/>
  <c r="J209" i="2"/>
  <c r="J250" i="2"/>
  <c r="J301" i="2"/>
  <c r="J318" i="2"/>
  <c r="J568" i="2"/>
  <c r="J630" i="2"/>
  <c r="J748" i="2"/>
  <c r="J755" i="2"/>
  <c r="J810" i="2"/>
  <c r="I950" i="2"/>
  <c r="J920" i="2"/>
  <c r="J957" i="2"/>
  <c r="J971" i="2"/>
  <c r="J1121" i="2"/>
  <c r="J1159" i="2"/>
  <c r="U38" i="2"/>
  <c r="J9" i="2"/>
  <c r="J10" i="2"/>
  <c r="P13" i="2"/>
  <c r="J15" i="2"/>
  <c r="J17" i="2"/>
  <c r="J20" i="2"/>
  <c r="P49" i="2"/>
  <c r="V59" i="2"/>
  <c r="J61" i="2"/>
  <c r="V63" i="2"/>
  <c r="V71" i="2"/>
  <c r="V84" i="2"/>
  <c r="V93" i="2"/>
  <c r="J95" i="2"/>
  <c r="J99" i="2"/>
  <c r="Z32" i="2" s="1"/>
  <c r="J122" i="2"/>
  <c r="J172" i="2"/>
  <c r="J176" i="2"/>
  <c r="J180" i="2"/>
  <c r="J184" i="2"/>
  <c r="J197" i="2"/>
  <c r="J205" i="2"/>
  <c r="J213" i="2"/>
  <c r="J221" i="2"/>
  <c r="J225" i="2"/>
  <c r="J248" i="2"/>
  <c r="J252" i="2"/>
  <c r="J256" i="2"/>
  <c r="J260" i="2"/>
  <c r="J264" i="2"/>
  <c r="J297" i="2"/>
  <c r="J314" i="2"/>
  <c r="AE23" i="2"/>
  <c r="AF23" i="2" s="1"/>
  <c r="J227" i="2"/>
  <c r="J254" i="2"/>
  <c r="J310" i="2"/>
  <c r="J359" i="2"/>
  <c r="I418" i="2"/>
  <c r="J384" i="2"/>
  <c r="J476" i="2"/>
  <c r="J750" i="2"/>
  <c r="J1113" i="2"/>
  <c r="V5" i="2"/>
  <c r="P6" i="2"/>
  <c r="I38" i="2"/>
  <c r="J23" i="2"/>
  <c r="J69" i="2"/>
  <c r="J169" i="2"/>
  <c r="J173" i="2"/>
  <c r="J177" i="2"/>
  <c r="J181" i="2"/>
  <c r="J185" i="2"/>
  <c r="J187" i="2"/>
  <c r="J189" i="2"/>
  <c r="J199" i="2"/>
  <c r="J207" i="2"/>
  <c r="J215" i="2"/>
  <c r="I266" i="2"/>
  <c r="J232" i="2"/>
  <c r="J236" i="2"/>
  <c r="J240" i="2"/>
  <c r="J244" i="2"/>
  <c r="J271" i="2"/>
  <c r="J275" i="2"/>
  <c r="J279" i="2"/>
  <c r="J283" i="2"/>
  <c r="J287" i="2"/>
  <c r="J291" i="2"/>
  <c r="J296" i="2"/>
  <c r="J299" i="2"/>
  <c r="I342" i="2"/>
  <c r="J308" i="2"/>
  <c r="J316" i="2"/>
  <c r="J322" i="2"/>
  <c r="J326" i="2"/>
  <c r="J330" i="2"/>
  <c r="J334" i="2"/>
  <c r="J338" i="2"/>
  <c r="J347" i="2"/>
  <c r="J351" i="2"/>
  <c r="J355" i="2"/>
  <c r="I380" i="2"/>
  <c r="J356" i="2"/>
  <c r="J361" i="2"/>
  <c r="J369" i="2"/>
  <c r="J377" i="2"/>
  <c r="J386" i="2"/>
  <c r="J399" i="2"/>
  <c r="J450" i="2"/>
  <c r="J463" i="2"/>
  <c r="J492" i="2"/>
  <c r="J581" i="2"/>
  <c r="J614" i="2"/>
  <c r="J298" i="2"/>
  <c r="J300" i="2"/>
  <c r="J302" i="2"/>
  <c r="J309" i="2"/>
  <c r="J311" i="2"/>
  <c r="J313" i="2"/>
  <c r="J315" i="2"/>
  <c r="J317" i="2"/>
  <c r="J319" i="2"/>
  <c r="J363" i="2"/>
  <c r="J371" i="2"/>
  <c r="J379" i="2"/>
  <c r="J388" i="2"/>
  <c r="J462" i="2"/>
  <c r="J468" i="2"/>
  <c r="J484" i="2"/>
  <c r="J501" i="2"/>
  <c r="J517" i="2"/>
  <c r="J548" i="2"/>
  <c r="J601" i="2"/>
  <c r="I228" i="2"/>
  <c r="J357" i="2"/>
  <c r="J365" i="2"/>
  <c r="J373" i="2"/>
  <c r="J415" i="2"/>
  <c r="J434" i="2"/>
  <c r="I608" i="2"/>
  <c r="J727" i="2"/>
  <c r="J780" i="2"/>
  <c r="J785" i="2"/>
  <c r="J794" i="2"/>
  <c r="J804" i="2"/>
  <c r="J855" i="2"/>
  <c r="J917" i="2"/>
  <c r="J959" i="2"/>
  <c r="J358" i="2"/>
  <c r="J360" i="2"/>
  <c r="J362" i="2"/>
  <c r="J364" i="2"/>
  <c r="J366" i="2"/>
  <c r="J368" i="2"/>
  <c r="J370" i="2"/>
  <c r="J372" i="2"/>
  <c r="J374" i="2"/>
  <c r="J376" i="2"/>
  <c r="J378" i="2"/>
  <c r="J385" i="2"/>
  <c r="J387" i="2"/>
  <c r="J587" i="2"/>
  <c r="J595" i="2"/>
  <c r="J620" i="2"/>
  <c r="J657" i="2"/>
  <c r="J665" i="2"/>
  <c r="J673" i="2"/>
  <c r="J677" i="2"/>
  <c r="J681" i="2"/>
  <c r="J688" i="2"/>
  <c r="J747" i="2"/>
  <c r="J749" i="2"/>
  <c r="J751" i="2"/>
  <c r="J826" i="2"/>
  <c r="J845" i="2"/>
  <c r="J871" i="2"/>
  <c r="J919" i="2"/>
  <c r="I646" i="2"/>
  <c r="J612" i="2"/>
  <c r="J696" i="2"/>
  <c r="J704" i="2"/>
  <c r="J712" i="2"/>
  <c r="J720" i="2"/>
  <c r="J729" i="2"/>
  <c r="J756" i="2"/>
  <c r="J820" i="2"/>
  <c r="J916" i="2"/>
  <c r="J918" i="2"/>
  <c r="J955" i="2"/>
  <c r="I684" i="2"/>
  <c r="I912" i="2"/>
  <c r="J1081" i="2"/>
  <c r="J1146" i="2"/>
  <c r="J1175" i="2"/>
  <c r="J628" i="2"/>
  <c r="J636" i="2"/>
  <c r="J644" i="2"/>
  <c r="J655" i="2"/>
  <c r="J663" i="2"/>
  <c r="J671" i="2"/>
  <c r="I722" i="2"/>
  <c r="J694" i="2"/>
  <c r="J702" i="2"/>
  <c r="J710" i="2"/>
  <c r="J718" i="2"/>
  <c r="J735" i="2"/>
  <c r="J737" i="2"/>
  <c r="J739" i="2"/>
  <c r="J741" i="2"/>
  <c r="J743" i="2"/>
  <c r="J745" i="2"/>
  <c r="J776" i="2"/>
  <c r="J781" i="2"/>
  <c r="J786" i="2"/>
  <c r="J787" i="2"/>
  <c r="J796" i="2"/>
  <c r="J797" i="2"/>
  <c r="J802" i="2"/>
  <c r="J808" i="2"/>
  <c r="J814" i="2"/>
  <c r="J824" i="2"/>
  <c r="J830" i="2"/>
  <c r="J843" i="2"/>
  <c r="J849" i="2"/>
  <c r="J859" i="2"/>
  <c r="J865" i="2"/>
  <c r="J879" i="2"/>
  <c r="J881" i="2"/>
  <c r="J883" i="2"/>
  <c r="J885" i="2"/>
  <c r="J887" i="2"/>
  <c r="J889" i="2"/>
  <c r="J891" i="2"/>
  <c r="J893" i="2"/>
  <c r="J895" i="2"/>
  <c r="J897" i="2"/>
  <c r="J899" i="2"/>
  <c r="J901" i="2"/>
  <c r="J903" i="2"/>
  <c r="J905" i="2"/>
  <c r="J907" i="2"/>
  <c r="J909" i="2"/>
  <c r="J910" i="2"/>
  <c r="J911" i="2"/>
  <c r="J979" i="2"/>
  <c r="J1041" i="2"/>
  <c r="J1078" i="2"/>
  <c r="J1117" i="2"/>
  <c r="J607" i="2"/>
  <c r="J733" i="2"/>
  <c r="J992" i="2"/>
  <c r="J1043" i="2"/>
  <c r="J1097" i="2"/>
  <c r="J1109" i="2"/>
  <c r="J1137" i="2"/>
  <c r="J1162" i="2"/>
  <c r="J1045" i="2"/>
  <c r="AD10" i="2"/>
  <c r="O38" i="2"/>
  <c r="V4" i="2"/>
  <c r="P5" i="2"/>
  <c r="J6" i="2"/>
  <c r="J8" i="2"/>
  <c r="V10" i="2"/>
  <c r="V11" i="2"/>
  <c r="V12" i="2"/>
  <c r="V13" i="2"/>
  <c r="J14" i="2"/>
  <c r="P4" i="2"/>
  <c r="V18" i="2"/>
  <c r="V19" i="2"/>
  <c r="V21" i="2"/>
  <c r="AE37" i="2"/>
  <c r="AF37" i="2" s="1"/>
  <c r="AD37" i="2"/>
  <c r="P26" i="2"/>
  <c r="J28" i="2"/>
  <c r="J30" i="2"/>
  <c r="J32" i="2"/>
  <c r="V64" i="2"/>
  <c r="V72" i="2"/>
  <c r="V82" i="2"/>
  <c r="P89" i="2"/>
  <c r="P105" i="2"/>
  <c r="P113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V17" i="2"/>
  <c r="AD23" i="2"/>
  <c r="V25" i="2"/>
  <c r="P27" i="2"/>
  <c r="J29" i="2"/>
  <c r="P31" i="2"/>
  <c r="AD16" i="2" s="1"/>
  <c r="P34" i="2"/>
  <c r="J35" i="2"/>
  <c r="J36" i="2"/>
  <c r="P63" i="2"/>
  <c r="P71" i="2"/>
  <c r="P80" i="2"/>
  <c r="V90" i="2"/>
  <c r="P97" i="2"/>
  <c r="AE31" i="2" s="1"/>
  <c r="AF31" i="2" s="1"/>
  <c r="P104" i="2"/>
  <c r="J119" i="2"/>
  <c r="V15" i="2"/>
  <c r="V16" i="2"/>
  <c r="V22" i="2"/>
  <c r="J24" i="2"/>
  <c r="V26" i="2"/>
  <c r="V33" i="2"/>
  <c r="P62" i="2"/>
  <c r="P88" i="2"/>
  <c r="V98" i="2"/>
  <c r="P112" i="2"/>
  <c r="V20" i="2"/>
  <c r="P25" i="2"/>
  <c r="J31" i="2"/>
  <c r="V37" i="2"/>
  <c r="U76" i="2"/>
  <c r="V42" i="2"/>
  <c r="P70" i="2"/>
  <c r="P81" i="2"/>
  <c r="P96" i="2"/>
  <c r="V106" i="2"/>
  <c r="AI40" i="2"/>
  <c r="AJ40" i="2" s="1"/>
  <c r="AH40" i="2"/>
  <c r="J62" i="2"/>
  <c r="J70" i="2"/>
  <c r="J80" i="2"/>
  <c r="J88" i="2"/>
  <c r="J96" i="2"/>
  <c r="J104" i="2"/>
  <c r="J112" i="2"/>
  <c r="I114" i="2"/>
  <c r="J389" i="2"/>
  <c r="J396" i="2"/>
  <c r="J405" i="2"/>
  <c r="J412" i="2"/>
  <c r="J424" i="2"/>
  <c r="J431" i="2"/>
  <c r="J440" i="2"/>
  <c r="J447" i="2"/>
  <c r="J500" i="2"/>
  <c r="J508" i="2"/>
  <c r="J516" i="2"/>
  <c r="J524" i="2"/>
  <c r="J539" i="2"/>
  <c r="J547" i="2"/>
  <c r="J555" i="2"/>
  <c r="J563" i="2"/>
  <c r="J767" i="2"/>
  <c r="J771" i="2"/>
  <c r="J817" i="2"/>
  <c r="J833" i="2"/>
  <c r="J848" i="2"/>
  <c r="J864" i="2"/>
  <c r="J954" i="2"/>
  <c r="J956" i="2"/>
  <c r="I988" i="2"/>
  <c r="J958" i="2"/>
  <c r="Z8" i="2" s="1"/>
  <c r="J960" i="2"/>
  <c r="V43" i="2"/>
  <c r="J44" i="2"/>
  <c r="V45" i="2"/>
  <c r="J46" i="2"/>
  <c r="J47" i="2"/>
  <c r="J48" i="2"/>
  <c r="J49" i="2"/>
  <c r="J50" i="2"/>
  <c r="J51" i="2"/>
  <c r="J52" i="2"/>
  <c r="V53" i="2"/>
  <c r="J54" i="2"/>
  <c r="V55" i="2"/>
  <c r="J56" i="2"/>
  <c r="V57" i="2"/>
  <c r="J58" i="2"/>
  <c r="J66" i="2"/>
  <c r="J74" i="2"/>
  <c r="I76" i="2"/>
  <c r="J84" i="2"/>
  <c r="J92" i="2"/>
  <c r="J100" i="2"/>
  <c r="J108" i="2"/>
  <c r="P59" i="2"/>
  <c r="V60" i="2"/>
  <c r="P67" i="2"/>
  <c r="V68" i="2"/>
  <c r="P75" i="2"/>
  <c r="V81" i="2"/>
  <c r="J83" i="2"/>
  <c r="O114" i="2"/>
  <c r="P85" i="2"/>
  <c r="V86" i="2"/>
  <c r="V89" i="2"/>
  <c r="J91" i="2"/>
  <c r="P93" i="2"/>
  <c r="V94" i="2"/>
  <c r="V97" i="2"/>
  <c r="P101" i="2"/>
  <c r="V102" i="2"/>
  <c r="P109" i="2"/>
  <c r="V110" i="2"/>
  <c r="I152" i="2"/>
  <c r="J118" i="2"/>
  <c r="J393" i="2"/>
  <c r="J400" i="2"/>
  <c r="J409" i="2"/>
  <c r="J416" i="2"/>
  <c r="J428" i="2"/>
  <c r="J435" i="2"/>
  <c r="J444" i="2"/>
  <c r="J451" i="2"/>
  <c r="O76" i="2"/>
  <c r="J137" i="2"/>
  <c r="J139" i="2"/>
  <c r="J141" i="2"/>
  <c r="J142" i="2"/>
  <c r="J146" i="2"/>
  <c r="J148" i="2"/>
  <c r="I304" i="2"/>
  <c r="J397" i="2"/>
  <c r="J404" i="2"/>
  <c r="J413" i="2"/>
  <c r="J423" i="2"/>
  <c r="I456" i="2"/>
  <c r="J432" i="2"/>
  <c r="J439" i="2"/>
  <c r="J448" i="2"/>
  <c r="J455" i="2"/>
  <c r="J295" i="2"/>
  <c r="J392" i="2"/>
  <c r="J401" i="2"/>
  <c r="J408" i="2"/>
  <c r="J417" i="2"/>
  <c r="J427" i="2"/>
  <c r="J436" i="2"/>
  <c r="J443" i="2"/>
  <c r="J452" i="2"/>
  <c r="J498" i="2"/>
  <c r="J506" i="2"/>
  <c r="J514" i="2"/>
  <c r="J522" i="2"/>
  <c r="J530" i="2"/>
  <c r="J537" i="2"/>
  <c r="J545" i="2"/>
  <c r="J553" i="2"/>
  <c r="J561" i="2"/>
  <c r="J150" i="2"/>
  <c r="J151" i="2"/>
  <c r="J156" i="2"/>
  <c r="J493" i="2"/>
  <c r="J504" i="2"/>
  <c r="J512" i="2"/>
  <c r="J520" i="2"/>
  <c r="J528" i="2"/>
  <c r="J543" i="2"/>
  <c r="J551" i="2"/>
  <c r="J559" i="2"/>
  <c r="J426" i="2"/>
  <c r="J469" i="2"/>
  <c r="J471" i="2"/>
  <c r="J473" i="2"/>
  <c r="J475" i="2"/>
  <c r="J477" i="2"/>
  <c r="J479" i="2"/>
  <c r="J481" i="2"/>
  <c r="J483" i="2"/>
  <c r="J485" i="2"/>
  <c r="J487" i="2"/>
  <c r="J489" i="2"/>
  <c r="J491" i="2"/>
  <c r="I494" i="2"/>
  <c r="I532" i="2"/>
  <c r="J502" i="2"/>
  <c r="J510" i="2"/>
  <c r="J518" i="2"/>
  <c r="J526" i="2"/>
  <c r="J541" i="2"/>
  <c r="J549" i="2"/>
  <c r="J557" i="2"/>
  <c r="J565" i="2"/>
  <c r="J754" i="2"/>
  <c r="J766" i="2"/>
  <c r="J770" i="2"/>
  <c r="I570" i="2"/>
  <c r="J753" i="2"/>
  <c r="J765" i="2"/>
  <c r="J769" i="2"/>
  <c r="J773" i="2"/>
  <c r="J536" i="2"/>
  <c r="I798" i="2"/>
  <c r="J764" i="2"/>
  <c r="J768" i="2"/>
  <c r="J772" i="2"/>
  <c r="I760" i="2"/>
  <c r="J805" i="2"/>
  <c r="J821" i="2"/>
  <c r="J852" i="2"/>
  <c r="J868" i="2"/>
  <c r="J567" i="2"/>
  <c r="J569" i="2"/>
  <c r="J574" i="2"/>
  <c r="J576" i="2"/>
  <c r="J578" i="2"/>
  <c r="J580" i="2"/>
  <c r="J582" i="2"/>
  <c r="J584" i="2"/>
  <c r="J586" i="2"/>
  <c r="J588" i="2"/>
  <c r="J590" i="2"/>
  <c r="J592" i="2"/>
  <c r="J594" i="2"/>
  <c r="J596" i="2"/>
  <c r="J598" i="2"/>
  <c r="J600" i="2"/>
  <c r="J602" i="2"/>
  <c r="J604" i="2"/>
  <c r="J606" i="2"/>
  <c r="J613" i="2"/>
  <c r="J615" i="2"/>
  <c r="J617" i="2"/>
  <c r="J619" i="2"/>
  <c r="J621" i="2"/>
  <c r="J623" i="2"/>
  <c r="J625" i="2"/>
  <c r="J627" i="2"/>
  <c r="J629" i="2"/>
  <c r="J631" i="2"/>
  <c r="J633" i="2"/>
  <c r="J635" i="2"/>
  <c r="J637" i="2"/>
  <c r="J639" i="2"/>
  <c r="J641" i="2"/>
  <c r="J643" i="2"/>
  <c r="J645" i="2"/>
  <c r="J650" i="2"/>
  <c r="J652" i="2"/>
  <c r="J654" i="2"/>
  <c r="J656" i="2"/>
  <c r="J658" i="2"/>
  <c r="J660" i="2"/>
  <c r="J662" i="2"/>
  <c r="J664" i="2"/>
  <c r="J666" i="2"/>
  <c r="J668" i="2"/>
  <c r="J670" i="2"/>
  <c r="J672" i="2"/>
  <c r="J674" i="2"/>
  <c r="J676" i="2"/>
  <c r="J678" i="2"/>
  <c r="J680" i="2"/>
  <c r="J682" i="2"/>
  <c r="J689" i="2"/>
  <c r="J691" i="2"/>
  <c r="J693" i="2"/>
  <c r="J695" i="2"/>
  <c r="J697" i="2"/>
  <c r="J699" i="2"/>
  <c r="J701" i="2"/>
  <c r="J703" i="2"/>
  <c r="J705" i="2"/>
  <c r="J707" i="2"/>
  <c r="J709" i="2"/>
  <c r="J711" i="2"/>
  <c r="J713" i="2"/>
  <c r="J715" i="2"/>
  <c r="J717" i="2"/>
  <c r="J719" i="2"/>
  <c r="J721" i="2"/>
  <c r="J726" i="2"/>
  <c r="J728" i="2"/>
  <c r="J730" i="2"/>
  <c r="J732" i="2"/>
  <c r="J734" i="2"/>
  <c r="J803" i="2"/>
  <c r="I836" i="2"/>
  <c r="J809" i="2"/>
  <c r="J825" i="2"/>
  <c r="I874" i="2"/>
  <c r="J840" i="2"/>
  <c r="J856" i="2"/>
  <c r="J872" i="2"/>
  <c r="J813" i="2"/>
  <c r="J829" i="2"/>
  <c r="J844" i="2"/>
  <c r="J860" i="2"/>
  <c r="I1102" i="2"/>
  <c r="J1072" i="2"/>
  <c r="J1088" i="2"/>
  <c r="J1128" i="2"/>
  <c r="I1140" i="2"/>
  <c r="J968" i="2"/>
  <c r="J976" i="2"/>
  <c r="J984" i="2"/>
  <c r="J807" i="2"/>
  <c r="J811" i="2"/>
  <c r="J815" i="2"/>
  <c r="J819" i="2"/>
  <c r="J823" i="2"/>
  <c r="J827" i="2"/>
  <c r="J831" i="2"/>
  <c r="J835" i="2"/>
  <c r="J842" i="2"/>
  <c r="J846" i="2"/>
  <c r="J850" i="2"/>
  <c r="J854" i="2"/>
  <c r="J858" i="2"/>
  <c r="J862" i="2"/>
  <c r="J866" i="2"/>
  <c r="J870" i="2"/>
  <c r="J921" i="2"/>
  <c r="J923" i="2"/>
  <c r="J925" i="2"/>
  <c r="J927" i="2"/>
  <c r="J929" i="2"/>
  <c r="J931" i="2"/>
  <c r="J933" i="2"/>
  <c r="J935" i="2"/>
  <c r="J937" i="2"/>
  <c r="J939" i="2"/>
  <c r="J941" i="2"/>
  <c r="J943" i="2"/>
  <c r="J945" i="2"/>
  <c r="J947" i="2"/>
  <c r="J949" i="2"/>
  <c r="J966" i="2"/>
  <c r="J974" i="2"/>
  <c r="J982" i="2"/>
  <c r="J1033" i="2"/>
  <c r="J1044" i="2"/>
  <c r="J1068" i="2"/>
  <c r="J1084" i="2"/>
  <c r="J1100" i="2"/>
  <c r="J972" i="2"/>
  <c r="J980" i="2"/>
  <c r="J993" i="2"/>
  <c r="J995" i="2"/>
  <c r="J997" i="2"/>
  <c r="J999" i="2"/>
  <c r="J1001" i="2"/>
  <c r="J1003" i="2"/>
  <c r="J1005" i="2"/>
  <c r="J1007" i="2"/>
  <c r="J1009" i="2"/>
  <c r="J1011" i="2"/>
  <c r="J1013" i="2"/>
  <c r="J1015" i="2"/>
  <c r="J1017" i="2"/>
  <c r="J1019" i="2"/>
  <c r="J1021" i="2"/>
  <c r="J1023" i="2"/>
  <c r="J1025" i="2"/>
  <c r="J1036" i="2"/>
  <c r="J1080" i="2"/>
  <c r="J1096" i="2"/>
  <c r="J1136" i="2"/>
  <c r="J970" i="2"/>
  <c r="J978" i="2"/>
  <c r="J986" i="2"/>
  <c r="I1026" i="2"/>
  <c r="I1064" i="2"/>
  <c r="J1030" i="2"/>
  <c r="J1032" i="2"/>
  <c r="J1076" i="2"/>
  <c r="J1092" i="2"/>
  <c r="J1132" i="2"/>
  <c r="J1038" i="2"/>
  <c r="J1046" i="2"/>
  <c r="J1144" i="2"/>
  <c r="I1178" i="2"/>
  <c r="J1148" i="2"/>
  <c r="J1152" i="2"/>
  <c r="J1156" i="2"/>
  <c r="J1160" i="2"/>
  <c r="J1164" i="2"/>
  <c r="J1168" i="2"/>
  <c r="J1172" i="2"/>
  <c r="J1176" i="2"/>
  <c r="J1040" i="2"/>
  <c r="J1048" i="2"/>
  <c r="J1050" i="2"/>
  <c r="J1052" i="2"/>
  <c r="J1054" i="2"/>
  <c r="J1056" i="2"/>
  <c r="J1058" i="2"/>
  <c r="J1060" i="2"/>
  <c r="J1062" i="2"/>
  <c r="J1108" i="2"/>
  <c r="J1112" i="2"/>
  <c r="J1116" i="2"/>
  <c r="J1120" i="2"/>
  <c r="J1124" i="2"/>
  <c r="J1042" i="2"/>
  <c r="J1071" i="2"/>
  <c r="J1075" i="2"/>
  <c r="J1079" i="2"/>
  <c r="J1083" i="2"/>
  <c r="J1087" i="2"/>
  <c r="J1091" i="2"/>
  <c r="J1095" i="2"/>
  <c r="J1099" i="2"/>
  <c r="J1127" i="2"/>
  <c r="J1131" i="2"/>
  <c r="J1135" i="2"/>
  <c r="J1139" i="2"/>
  <c r="J1145" i="2"/>
  <c r="J1149" i="2"/>
  <c r="J1153" i="2"/>
  <c r="J1157" i="2"/>
  <c r="J1161" i="2"/>
  <c r="J1165" i="2"/>
  <c r="J1169" i="2"/>
  <c r="J1173" i="2"/>
  <c r="J1177" i="2"/>
  <c r="AP14" i="1"/>
  <c r="AP33" i="1"/>
  <c r="AM33" i="1"/>
  <c r="AS35" i="1"/>
  <c r="AU10" i="1" s="1"/>
  <c r="AU16" i="1"/>
  <c r="AP22" i="1"/>
  <c r="AS22" i="1"/>
  <c r="AP34" i="1"/>
  <c r="AP35" i="1" s="1"/>
  <c r="AR32" i="1" s="1"/>
  <c r="AN34" i="1"/>
  <c r="AM28" i="1"/>
  <c r="AI14" i="2" l="1"/>
  <c r="AD32" i="2"/>
  <c r="Z33" i="2"/>
  <c r="Z28" i="2"/>
  <c r="AD40" i="2"/>
  <c r="AH19" i="2"/>
  <c r="AI39" i="2"/>
  <c r="AJ39" i="2" s="1"/>
  <c r="AA24" i="2"/>
  <c r="AB24" i="2" s="1"/>
  <c r="AD25" i="2"/>
  <c r="AE40" i="2"/>
  <c r="AF40" i="2" s="1"/>
  <c r="AE32" i="2"/>
  <c r="AF32" i="2" s="1"/>
  <c r="AH38" i="2"/>
  <c r="AE38" i="2"/>
  <c r="AF38" i="2" s="1"/>
  <c r="AE30" i="2"/>
  <c r="AF30" i="2" s="1"/>
  <c r="AD12" i="2"/>
  <c r="AI19" i="2"/>
  <c r="AJ19" i="2" s="1"/>
  <c r="AD22" i="2"/>
  <c r="AI18" i="2"/>
  <c r="AJ18" i="2" s="1"/>
  <c r="AD31" i="2"/>
  <c r="AE41" i="2"/>
  <c r="AF41" i="2" s="1"/>
  <c r="AE22" i="2"/>
  <c r="AF22" i="2" s="1"/>
  <c r="AI38" i="2"/>
  <c r="AJ38" i="2" s="1"/>
  <c r="AE15" i="2"/>
  <c r="AF15" i="2" s="1"/>
  <c r="AD15" i="2"/>
  <c r="AA28" i="2"/>
  <c r="AB28" i="2" s="1"/>
  <c r="AE39" i="2"/>
  <c r="AF39" i="2" s="1"/>
  <c r="AA26" i="2"/>
  <c r="AB26" i="2" s="1"/>
  <c r="AD28" i="2"/>
  <c r="AE11" i="2"/>
  <c r="AF11" i="2" s="1"/>
  <c r="Z27" i="2"/>
  <c r="AA27" i="2"/>
  <c r="AB27" i="2" s="1"/>
  <c r="AE13" i="2"/>
  <c r="AF13" i="2" s="1"/>
  <c r="AD13" i="2"/>
  <c r="AE14" i="2"/>
  <c r="AF14" i="2" s="1"/>
  <c r="AE12" i="2"/>
  <c r="AF12" i="2" s="1"/>
  <c r="Z25" i="2"/>
  <c r="AA18" i="2"/>
  <c r="AB18" i="2" s="1"/>
  <c r="AE29" i="2"/>
  <c r="AF29" i="2" s="1"/>
  <c r="AA23" i="2"/>
  <c r="AB23" i="2" s="1"/>
  <c r="AA39" i="2"/>
  <c r="AB39" i="2" s="1"/>
  <c r="AD38" i="2"/>
  <c r="AD41" i="2" s="1"/>
  <c r="AA31" i="2"/>
  <c r="AB31" i="2" s="1"/>
  <c r="Z31" i="2"/>
  <c r="AA42" i="2"/>
  <c r="AB42" i="2" s="1"/>
  <c r="Z19" i="2"/>
  <c r="AA19" i="2"/>
  <c r="AB19" i="2" s="1"/>
  <c r="Z39" i="2"/>
  <c r="AI30" i="2"/>
  <c r="AJ30" i="2" s="1"/>
  <c r="AH30" i="2"/>
  <c r="AI36" i="2"/>
  <c r="AJ36" i="2" s="1"/>
  <c r="AD24" i="2"/>
  <c r="AA43" i="2"/>
  <c r="AB43" i="2" s="1"/>
  <c r="AI27" i="2"/>
  <c r="AJ27" i="2" s="1"/>
  <c r="AH27" i="2"/>
  <c r="AH13" i="2"/>
  <c r="AI13" i="2"/>
  <c r="AJ13" i="2" s="1"/>
  <c r="AE28" i="2"/>
  <c r="AF28" i="2" s="1"/>
  <c r="AA40" i="2"/>
  <c r="AB40" i="2" s="1"/>
  <c r="Z40" i="2"/>
  <c r="AE18" i="2"/>
  <c r="AF18" i="2" s="1"/>
  <c r="AD18" i="2"/>
  <c r="AH26" i="2"/>
  <c r="AI26" i="2"/>
  <c r="AJ26" i="2" s="1"/>
  <c r="Z21" i="2"/>
  <c r="AA21" i="2"/>
  <c r="AB21" i="2" s="1"/>
  <c r="AH39" i="2"/>
  <c r="AE33" i="2"/>
  <c r="AF33" i="2" s="1"/>
  <c r="AD33" i="2"/>
  <c r="AA25" i="2"/>
  <c r="AB25" i="2" s="1"/>
  <c r="AH25" i="2"/>
  <c r="AI25" i="2"/>
  <c r="AJ25" i="2" s="1"/>
  <c r="Z12" i="2"/>
  <c r="AA12" i="2"/>
  <c r="AB12" i="2" s="1"/>
  <c r="AI11" i="2"/>
  <c r="AJ11" i="2" s="1"/>
  <c r="AH11" i="2"/>
  <c r="AD11" i="2"/>
  <c r="AI41" i="2"/>
  <c r="AJ41" i="2" s="1"/>
  <c r="AI37" i="2"/>
  <c r="AJ37" i="2" s="1"/>
  <c r="AI43" i="2"/>
  <c r="AJ43" i="2" s="1"/>
  <c r="AH37" i="2"/>
  <c r="AI42" i="2"/>
  <c r="AJ42" i="2" s="1"/>
  <c r="AA30" i="2"/>
  <c r="AB30" i="2" s="1"/>
  <c r="Z30" i="2"/>
  <c r="AA36" i="2"/>
  <c r="AB36" i="2" s="1"/>
  <c r="Z13" i="2"/>
  <c r="AA13" i="2"/>
  <c r="AB13" i="2" s="1"/>
  <c r="AE24" i="2"/>
  <c r="AF24" i="2" s="1"/>
  <c r="AA37" i="2"/>
  <c r="AB37" i="2" s="1"/>
  <c r="AI29" i="2"/>
  <c r="AJ29" i="2" s="1"/>
  <c r="AI23" i="2"/>
  <c r="AJ23" i="2" s="1"/>
  <c r="AH23" i="2"/>
  <c r="Z26" i="2"/>
  <c r="Z18" i="2"/>
  <c r="AH31" i="2"/>
  <c r="AI31" i="2"/>
  <c r="AJ31" i="2" s="1"/>
  <c r="AI20" i="2"/>
  <c r="AJ20" i="2" s="1"/>
  <c r="AH10" i="2"/>
  <c r="AI10" i="2"/>
  <c r="AJ10" i="2" s="1"/>
  <c r="AE20" i="2"/>
  <c r="AF20" i="2" s="1"/>
  <c r="AA11" i="2"/>
  <c r="AB11" i="2" s="1"/>
  <c r="Z11" i="2"/>
  <c r="AA29" i="2"/>
  <c r="AB29" i="2" s="1"/>
  <c r="AH18" i="2"/>
  <c r="AA41" i="2"/>
  <c r="AB41" i="2" s="1"/>
  <c r="AI12" i="2"/>
  <c r="AJ12" i="2" s="1"/>
  <c r="AH12" i="2"/>
  <c r="AE27" i="2"/>
  <c r="AF27" i="2" s="1"/>
  <c r="AD27" i="2"/>
  <c r="AE36" i="2"/>
  <c r="AF36" i="2" s="1"/>
  <c r="AD30" i="2"/>
  <c r="AI24" i="2"/>
  <c r="AJ24" i="2" s="1"/>
  <c r="AH24" i="2"/>
  <c r="Z24" i="2"/>
  <c r="AA38" i="2"/>
  <c r="AB38" i="2" s="1"/>
  <c r="Z38" i="2"/>
  <c r="AE42" i="2"/>
  <c r="AF42" i="2" s="1"/>
  <c r="AJ14" i="2"/>
  <c r="AH14" i="2"/>
  <c r="AA14" i="2"/>
  <c r="AB14" i="2" s="1"/>
  <c r="Z14" i="2"/>
  <c r="AA20" i="2"/>
  <c r="AB20" i="2" s="1"/>
  <c r="Z10" i="2"/>
  <c r="AA10" i="2"/>
  <c r="AB10" i="2" s="1"/>
  <c r="AD26" i="2"/>
  <c r="AE26" i="2"/>
  <c r="AF26" i="2" s="1"/>
  <c r="Z23" i="2"/>
  <c r="Z37" i="2"/>
  <c r="AI33" i="2"/>
  <c r="AJ33" i="2" s="1"/>
  <c r="AH33" i="2"/>
  <c r="AE43" i="2"/>
  <c r="AF43" i="2" s="1"/>
  <c r="AU4" i="1"/>
  <c r="AM34" i="1"/>
  <c r="AM35" i="1" s="1"/>
  <c r="AO9" i="1" s="1"/>
  <c r="AU9" i="1"/>
  <c r="AU18" i="1"/>
  <c r="AU22" i="1" s="1"/>
  <c r="AR19" i="1"/>
  <c r="AR10" i="1"/>
  <c r="AR4" i="1"/>
  <c r="AR30" i="1"/>
  <c r="AR5" i="1"/>
  <c r="AU31" i="1"/>
  <c r="AU33" i="1" s="1"/>
  <c r="AU34" i="1" s="1"/>
  <c r="AR9" i="1"/>
  <c r="AU19" i="1"/>
  <c r="AU7" i="1"/>
  <c r="AR16" i="1"/>
  <c r="AR18" i="1"/>
  <c r="AU32" i="1"/>
  <c r="AU11" i="1"/>
  <c r="AR7" i="1"/>
  <c r="AR31" i="1"/>
  <c r="AR11" i="1"/>
  <c r="AO5" i="1"/>
  <c r="AO21" i="1"/>
  <c r="AO16" i="1"/>
  <c r="AO8" i="1"/>
  <c r="AO23" i="1"/>
  <c r="AO26" i="1"/>
  <c r="AO11" i="1"/>
  <c r="AO29" i="1"/>
  <c r="AO30" i="1"/>
  <c r="AO10" i="1"/>
  <c r="AO17" i="1"/>
  <c r="AO25" i="1"/>
  <c r="AO7" i="1"/>
  <c r="AO19" i="1"/>
  <c r="AO32" i="1"/>
  <c r="AO13" i="1"/>
  <c r="AO24" i="1"/>
  <c r="AO6" i="1"/>
  <c r="AO18" i="1"/>
  <c r="AO31" i="1"/>
  <c r="AO12" i="1"/>
  <c r="AO20" i="1"/>
  <c r="AO4" i="1"/>
  <c r="AO15" i="1"/>
  <c r="AO27" i="1"/>
  <c r="Z20" i="2" l="1"/>
  <c r="AD29" i="2"/>
  <c r="Z41" i="2"/>
  <c r="AH41" i="2"/>
  <c r="AD36" i="2"/>
  <c r="AH20" i="2"/>
  <c r="Z36" i="2"/>
  <c r="AD20" i="2"/>
  <c r="Z29" i="2"/>
  <c r="AH36" i="2"/>
  <c r="AH29" i="2"/>
  <c r="AR22" i="1"/>
  <c r="AU14" i="1"/>
  <c r="AU35" i="1" s="1"/>
  <c r="AR14" i="1"/>
  <c r="AR33" i="1"/>
  <c r="AR34" i="1" s="1"/>
  <c r="AO22" i="1"/>
  <c r="AO33" i="1"/>
  <c r="AO28" i="1"/>
  <c r="AO14" i="1"/>
  <c r="AH42" i="2" l="1"/>
  <c r="AD42" i="2"/>
  <c r="Z42" i="2"/>
  <c r="AO34" i="1"/>
  <c r="AO35" i="1" s="1"/>
  <c r="AR35" i="1"/>
  <c r="AD43" i="2" l="1"/>
  <c r="AH43" i="2"/>
  <c r="AK42" i="2" s="1"/>
  <c r="Z43" i="2"/>
  <c r="AC43" i="2" l="1"/>
  <c r="AC34" i="2"/>
  <c r="AC22" i="2"/>
  <c r="AC15" i="2"/>
  <c r="AC31" i="2"/>
  <c r="AC17" i="2"/>
  <c r="AC16" i="2"/>
  <c r="AC9" i="2"/>
  <c r="AC7" i="2"/>
  <c r="AC6" i="2"/>
  <c r="AC4" i="2"/>
  <c r="AC5" i="2"/>
  <c r="AC27" i="2"/>
  <c r="AC33" i="2"/>
  <c r="AC32" i="2"/>
  <c r="AC35" i="2"/>
  <c r="AC8" i="2"/>
  <c r="AC25" i="2"/>
  <c r="AC28" i="2"/>
  <c r="AC18" i="2"/>
  <c r="AC12" i="2"/>
  <c r="AC37" i="2"/>
  <c r="AC26" i="2"/>
  <c r="AC30" i="2"/>
  <c r="AC14" i="2"/>
  <c r="AC21" i="2"/>
  <c r="AC11" i="2"/>
  <c r="AC13" i="2"/>
  <c r="AC39" i="2"/>
  <c r="AC24" i="2"/>
  <c r="AC19" i="2"/>
  <c r="AC20" i="2"/>
  <c r="AC23" i="2"/>
  <c r="AC38" i="2"/>
  <c r="AC40" i="2"/>
  <c r="AC10" i="2"/>
  <c r="AC29" i="2"/>
  <c r="AC36" i="2"/>
  <c r="AC41" i="2"/>
  <c r="AC42" i="2"/>
  <c r="AG43" i="2"/>
  <c r="AG34" i="2"/>
  <c r="AG17" i="2"/>
  <c r="AG6" i="2"/>
  <c r="AG4" i="2"/>
  <c r="AG5" i="2"/>
  <c r="AG7" i="2"/>
  <c r="AG14" i="2"/>
  <c r="AG19" i="2"/>
  <c r="AG12" i="2"/>
  <c r="AG25" i="2"/>
  <c r="AG9" i="2"/>
  <c r="AG13" i="2"/>
  <c r="AG21" i="2"/>
  <c r="AG35" i="2"/>
  <c r="AG8" i="2"/>
  <c r="AG15" i="2"/>
  <c r="AG16" i="2"/>
  <c r="AG23" i="2"/>
  <c r="AG39" i="2"/>
  <c r="AG40" i="2"/>
  <c r="AG37" i="2"/>
  <c r="AG10" i="2"/>
  <c r="AG22" i="2"/>
  <c r="AG38" i="2"/>
  <c r="AG28" i="2"/>
  <c r="AG31" i="2"/>
  <c r="AG32" i="2"/>
  <c r="AG24" i="2"/>
  <c r="AG29" i="2"/>
  <c r="AG18" i="2"/>
  <c r="AG27" i="2"/>
  <c r="AG33" i="2"/>
  <c r="AG26" i="2"/>
  <c r="AG11" i="2"/>
  <c r="AG41" i="2"/>
  <c r="AG30" i="2"/>
  <c r="AG20" i="2"/>
  <c r="AG36" i="2"/>
  <c r="AK43" i="2"/>
  <c r="AK16" i="2"/>
  <c r="AK28" i="2"/>
  <c r="AK34" i="2"/>
  <c r="AK32" i="2"/>
  <c r="AK17" i="2"/>
  <c r="AK35" i="2"/>
  <c r="AK22" i="2"/>
  <c r="AK8" i="2"/>
  <c r="AK4" i="2"/>
  <c r="AK9" i="2"/>
  <c r="AK5" i="2"/>
  <c r="AK7" i="2"/>
  <c r="AK6" i="2"/>
  <c r="AK15" i="2"/>
  <c r="AK38" i="2"/>
  <c r="AK40" i="2"/>
  <c r="AK19" i="2"/>
  <c r="AK21" i="2"/>
  <c r="AK37" i="2"/>
  <c r="AK11" i="2"/>
  <c r="AK18" i="2"/>
  <c r="AK23" i="2"/>
  <c r="AK13" i="2"/>
  <c r="AK30" i="2"/>
  <c r="AK25" i="2"/>
  <c r="AK31" i="2"/>
  <c r="AK39" i="2"/>
  <c r="AK10" i="2"/>
  <c r="AK33" i="2"/>
  <c r="AK27" i="2"/>
  <c r="AK24" i="2"/>
  <c r="AK26" i="2"/>
  <c r="AK12" i="2"/>
  <c r="AK14" i="2"/>
  <c r="AK41" i="2"/>
  <c r="AK20" i="2"/>
  <c r="AK29" i="2"/>
  <c r="AK36" i="2"/>
  <c r="AG42" i="2"/>
</calcChain>
</file>

<file path=xl/sharedStrings.xml><?xml version="1.0" encoding="utf-8"?>
<sst xmlns="http://schemas.openxmlformats.org/spreadsheetml/2006/main" count="3198" uniqueCount="225">
  <si>
    <t>M-1</t>
  </si>
  <si>
    <t>M-2</t>
  </si>
  <si>
    <t>M-4</t>
  </si>
  <si>
    <t>M-7</t>
  </si>
  <si>
    <t>M-8</t>
  </si>
  <si>
    <t>M-9</t>
  </si>
  <si>
    <t>M-12</t>
  </si>
  <si>
    <t>M-13</t>
  </si>
  <si>
    <t>M-15</t>
  </si>
  <si>
    <t>MQ-1</t>
  </si>
  <si>
    <t>MQ-3</t>
  </si>
  <si>
    <t>MQ-5</t>
  </si>
  <si>
    <t>MQ-6</t>
  </si>
  <si>
    <t>MQ-10</t>
  </si>
  <si>
    <t>MQ-11</t>
  </si>
  <si>
    <t>MQ-12</t>
  </si>
  <si>
    <t>MQ-13</t>
  </si>
  <si>
    <t>MQ-14</t>
  </si>
  <si>
    <t>C8:0</t>
  </si>
  <si>
    <t>C12:0</t>
  </si>
  <si>
    <t>C13:0</t>
  </si>
  <si>
    <t>C14:0</t>
  </si>
  <si>
    <t>C15:0</t>
  </si>
  <si>
    <t>C16:0</t>
  </si>
  <si>
    <t>C17:0</t>
  </si>
  <si>
    <t>C18:0</t>
  </si>
  <si>
    <t>C20:0</t>
  </si>
  <si>
    <t>C23:0</t>
  </si>
  <si>
    <t>MUFA</t>
  </si>
  <si>
    <t>C14:1</t>
  </si>
  <si>
    <t>C16:1</t>
  </si>
  <si>
    <t>C17:1</t>
  </si>
  <si>
    <t>C18:1n9</t>
  </si>
  <si>
    <t>C20:1</t>
  </si>
  <si>
    <t>C22:1n9</t>
  </si>
  <si>
    <t>C24:1</t>
  </si>
  <si>
    <t>PUFA n6</t>
  </si>
  <si>
    <t>C18:2n6t</t>
  </si>
  <si>
    <t>C18:3n6</t>
  </si>
  <si>
    <t>C20:2</t>
  </si>
  <si>
    <t>C20:3n6</t>
  </si>
  <si>
    <t>PUFA n3</t>
  </si>
  <si>
    <t>C18:3n3</t>
  </si>
  <si>
    <t>C20:3n3</t>
  </si>
  <si>
    <t>C20:5n3</t>
  </si>
  <si>
    <t>C22:6n3</t>
  </si>
  <si>
    <t>M-3</t>
  </si>
  <si>
    <t>M-5</t>
  </si>
  <si>
    <t>M-6</t>
  </si>
  <si>
    <t>M-10</t>
  </si>
  <si>
    <t>M-11</t>
  </si>
  <si>
    <t>M-14</t>
  </si>
  <si>
    <t>M-17</t>
  </si>
  <si>
    <t>M-19</t>
  </si>
  <si>
    <t>M-22</t>
  </si>
  <si>
    <t>M-23</t>
  </si>
  <si>
    <t>M-24</t>
  </si>
  <si>
    <t>M-30</t>
  </si>
  <si>
    <t>M-31</t>
  </si>
  <si>
    <t>M-32</t>
  </si>
  <si>
    <t>C20:2n6</t>
  </si>
  <si>
    <t>%</t>
  </si>
  <si>
    <t>TOTAL MUFA</t>
  </si>
  <si>
    <t>TOTAL PUFA n6</t>
  </si>
  <si>
    <t>TOTAL PUFA n3</t>
  </si>
  <si>
    <t>TOTAL PUFA</t>
  </si>
  <si>
    <t>0.16 ± 0.04</t>
  </si>
  <si>
    <t>0.26 ± 0.03</t>
  </si>
  <si>
    <t>0.37 ± 0.10</t>
  </si>
  <si>
    <t>0.27 ± 0.05</t>
  </si>
  <si>
    <t>14.90 ± 4.23</t>
  </si>
  <si>
    <t>0.21 ± 0.01</t>
  </si>
  <si>
    <t>1.68 ± 0.45</t>
  </si>
  <si>
    <t>53.84 ± 13.43</t>
  </si>
  <si>
    <t>3.53 ± 0.54</t>
  </si>
  <si>
    <t>2.18 ± 0.50</t>
  </si>
  <si>
    <t>12.45 ± 2.80</t>
  </si>
  <si>
    <t>1.23 ± 0.27</t>
  </si>
  <si>
    <t>1.43 ± 0.45</t>
  </si>
  <si>
    <t>3.07 ± 1.16</t>
  </si>
  <si>
    <t>90.36 ± 17.12</t>
  </si>
  <si>
    <t>5.23 ± 1.41</t>
  </si>
  <si>
    <t>0.31 ± 0.11</t>
  </si>
  <si>
    <t>13.40 ± 4.35</t>
  </si>
  <si>
    <t>2.79 ± 1.64</t>
  </si>
  <si>
    <t>33.48 ± 11.15</t>
  </si>
  <si>
    <t>0.47 ± 0.20</t>
  </si>
  <si>
    <t>14.95 ± 4.98</t>
  </si>
  <si>
    <t>1.09 ± 0.17</t>
  </si>
  <si>
    <t>3.80 ± 2.06</t>
  </si>
  <si>
    <t>2.43 ± 0.69</t>
  </si>
  <si>
    <t>71.15 ± 12.06</t>
  </si>
  <si>
    <t>5.46 ± 0.56</t>
  </si>
  <si>
    <t>2.62 ± 0.84</t>
  </si>
  <si>
    <t>0.91 ± 0.28</t>
  </si>
  <si>
    <t>45.03 ± 17.36</t>
  </si>
  <si>
    <t>5.48 ± 2.46</t>
  </si>
  <si>
    <t>2.32 ± 0.77</t>
  </si>
  <si>
    <t>84.41 ± 27.84</t>
  </si>
  <si>
    <t>6.17 ± 2.84</t>
  </si>
  <si>
    <t>6.11 ± 2.32</t>
  </si>
  <si>
    <t>12.57 ± 3.16</t>
  </si>
  <si>
    <t>8.43 ± 2.59</t>
  </si>
  <si>
    <t>24.98 ± 2.57</t>
  </si>
  <si>
    <t>19.12 ± 2.22</t>
  </si>
  <si>
    <t>0.22 ± 0.04</t>
  </si>
  <si>
    <t>0.28 ± 0.12</t>
  </si>
  <si>
    <t>4.34 ± 0.96</t>
  </si>
  <si>
    <t>0.41 ± 0.14</t>
  </si>
  <si>
    <t>2.36 ± 0.88</t>
  </si>
  <si>
    <t>8.38 ± 1.83</t>
  </si>
  <si>
    <t>0.65 ± 0.24</t>
  </si>
  <si>
    <t>3.09 ± 0.72</t>
  </si>
  <si>
    <t>4.03 ± 1.35</t>
  </si>
  <si>
    <t>0.78 ± 0.00</t>
  </si>
  <si>
    <t>0.29 ± 0.00</t>
  </si>
  <si>
    <t>3.91 ± 0.00</t>
  </si>
  <si>
    <t>--</t>
  </si>
  <si>
    <t>Digestive gland</t>
  </si>
  <si>
    <t>Gonad</t>
  </si>
  <si>
    <t>Mantle Muscle</t>
  </si>
  <si>
    <t>Mean ± SD</t>
  </si>
  <si>
    <t>SFA</t>
  </si>
  <si>
    <t>TOTAL SFA</t>
  </si>
  <si>
    <t>MQ-2</t>
  </si>
  <si>
    <t>MQ-4</t>
  </si>
  <si>
    <t>MQ-7</t>
  </si>
  <si>
    <t>MQ-8</t>
  </si>
  <si>
    <t>MQ-9</t>
  </si>
  <si>
    <t>MQ-15</t>
  </si>
  <si>
    <t>MQ-16</t>
  </si>
  <si>
    <t>MQ-17</t>
  </si>
  <si>
    <t>1.00 ± 0.37</t>
  </si>
  <si>
    <t>2.97 ± 0.89</t>
  </si>
  <si>
    <t>0.94 ± 0.20</t>
  </si>
  <si>
    <t>1.02 ± 0.19</t>
  </si>
  <si>
    <t>8.55 ± 1.13</t>
  </si>
  <si>
    <t>3.47 ± 1.07</t>
  </si>
  <si>
    <t>3.49 ± 1.04</t>
  </si>
  <si>
    <t>136.40± 37.12</t>
  </si>
  <si>
    <t>144.95 ± 30.97</t>
  </si>
  <si>
    <t>306.46 ± 22.09</t>
  </si>
  <si>
    <t>Fatty acid (FA)</t>
  </si>
  <si>
    <t>Mantle muscle</t>
  </si>
  <si>
    <t>198 M</t>
  </si>
  <si>
    <t>198 H(D5)</t>
  </si>
  <si>
    <t>ee</t>
  </si>
  <si>
    <t>C6:0</t>
  </si>
  <si>
    <t>Á. Caproico</t>
  </si>
  <si>
    <t>A. Caprílico</t>
  </si>
  <si>
    <t>C10:0</t>
  </si>
  <si>
    <t>A. Cáprico</t>
  </si>
  <si>
    <t>C11:0</t>
  </si>
  <si>
    <t>A. Undecílico</t>
  </si>
  <si>
    <t>A. Laurico</t>
  </si>
  <si>
    <t>A. Tridecílico</t>
  </si>
  <si>
    <t>A. Merístico</t>
  </si>
  <si>
    <t>A. Miristoleico</t>
  </si>
  <si>
    <t>A. Pentadecílico</t>
  </si>
  <si>
    <t>C15:1</t>
  </si>
  <si>
    <t>A. Pentadecenoico</t>
  </si>
  <si>
    <t>A. Palmítico</t>
  </si>
  <si>
    <t>A. Palmitoleico</t>
  </si>
  <si>
    <t>A. Margárico</t>
  </si>
  <si>
    <t>C21:0</t>
  </si>
  <si>
    <t>A. Heptadecenoico</t>
  </si>
  <si>
    <t>C22:0</t>
  </si>
  <si>
    <t>A. Estearico</t>
  </si>
  <si>
    <t>A. Oleico</t>
  </si>
  <si>
    <t>C24:0</t>
  </si>
  <si>
    <t>A. Linoelaidico</t>
  </si>
  <si>
    <t>C18:2n6c</t>
  </si>
  <si>
    <t>A. Linoleico</t>
  </si>
  <si>
    <t>C14:1n-5</t>
  </si>
  <si>
    <t>A. α-Linolenico</t>
  </si>
  <si>
    <t>A. caléndico</t>
  </si>
  <si>
    <t>C16:1n-7</t>
  </si>
  <si>
    <t>A. Araquídico</t>
  </si>
  <si>
    <t>A. Gadoleico</t>
  </si>
  <si>
    <t>C18:1n-9</t>
  </si>
  <si>
    <t>A. Eicosadienoico</t>
  </si>
  <si>
    <t>C20:1n-9</t>
  </si>
  <si>
    <t xml:space="preserve">A. Dihomo-gamma-linolenico </t>
  </si>
  <si>
    <t>C22:1n-9</t>
  </si>
  <si>
    <t>A. eicosatrienoico</t>
  </si>
  <si>
    <t>C24:1n-9</t>
  </si>
  <si>
    <t>C20:4n6</t>
  </si>
  <si>
    <t>A. araquidonico</t>
  </si>
  <si>
    <t>A. Eicosapentaenoico</t>
  </si>
  <si>
    <t>A. heneicosanoico</t>
  </si>
  <si>
    <t>A. Behenoico</t>
  </si>
  <si>
    <t>A. Erúcico</t>
  </si>
  <si>
    <t>A. Tricosílico</t>
  </si>
  <si>
    <t>DHA</t>
  </si>
  <si>
    <t>A. Lignocérico</t>
  </si>
  <si>
    <t>198M</t>
  </si>
  <si>
    <t>A. nervonico</t>
  </si>
  <si>
    <t>28M</t>
  </si>
  <si>
    <t>119M</t>
  </si>
  <si>
    <t>28 M (D5)</t>
  </si>
  <si>
    <t xml:space="preserve"> 28 H (D2)</t>
  </si>
  <si>
    <t>198H</t>
  </si>
  <si>
    <t>28H</t>
  </si>
  <si>
    <t>119H</t>
  </si>
  <si>
    <t>Muscle</t>
  </si>
  <si>
    <t>Liver</t>
  </si>
  <si>
    <t>TOTAL PUFA n-6</t>
  </si>
  <si>
    <t>TOTAL PUFA n-3</t>
  </si>
  <si>
    <t>Fatty Acids</t>
  </si>
  <si>
    <t>Male individuals</t>
  </si>
  <si>
    <t>Female individuals</t>
  </si>
  <si>
    <t>Fatty acids</t>
  </si>
  <si>
    <t>Mean</t>
  </si>
  <si>
    <t>SD</t>
  </si>
  <si>
    <t>Dry weight  (g)</t>
  </si>
  <si>
    <t>Sample Code</t>
  </si>
  <si>
    <t>FA</t>
  </si>
  <si>
    <t>Name</t>
  </si>
  <si>
    <t>Concentration (mg/L)</t>
  </si>
  <si>
    <t>Concentration (mg)</t>
  </si>
  <si>
    <t>FA (mg*g DW)</t>
  </si>
  <si>
    <t>Sum</t>
  </si>
  <si>
    <t>TOTAL FA</t>
  </si>
  <si>
    <t>sd</t>
  </si>
  <si>
    <t>FA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</si>
</sst>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(Cuerpo)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0" fillId="5" borderId="0" xfId="0" applyFill="1"/>
    <xf numFmtId="2" fontId="0" fillId="5" borderId="0" xfId="0" applyNumberFormat="1" applyFill="1"/>
    <xf numFmtId="2" fontId="0" fillId="5" borderId="0" xfId="0" applyNumberFormat="1" applyFill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2" fontId="2" fillId="5" borderId="0" xfId="0" applyNumberFormat="1" applyFont="1" applyFill="1"/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0" xfId="0" applyFont="1"/>
    <xf numFmtId="0" fontId="7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" xfId="0" applyFont="1" applyBorder="1"/>
    <xf numFmtId="0" fontId="0" fillId="0" borderId="17" xfId="0" applyFont="1" applyBorder="1"/>
    <xf numFmtId="0" fontId="0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12" xfId="0" applyFont="1" applyBorder="1" applyAlignment="1">
      <alignment horizontal="left"/>
    </xf>
    <xf numFmtId="2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2" fontId="0" fillId="0" borderId="24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26" xfId="0" applyFont="1" applyBorder="1"/>
    <xf numFmtId="0" fontId="0" fillId="0" borderId="2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0" fillId="0" borderId="25" xfId="0" applyFont="1" applyBorder="1"/>
    <xf numFmtId="0" fontId="5" fillId="0" borderId="4" xfId="0" applyFont="1" applyBorder="1"/>
    <xf numFmtId="0" fontId="5" fillId="0" borderId="12" xfId="0" applyFont="1" applyBorder="1"/>
    <xf numFmtId="0" fontId="9" fillId="0" borderId="12" xfId="0" applyFont="1" applyBorder="1" applyAlignment="1">
      <alignment horizontal="left"/>
    </xf>
    <xf numFmtId="2" fontId="9" fillId="0" borderId="18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27" xfId="0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/>
    <xf numFmtId="0" fontId="5" fillId="0" borderId="17" xfId="0" applyFont="1" applyBorder="1"/>
    <xf numFmtId="0" fontId="7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28" xfId="0" applyFont="1" applyBorder="1"/>
    <xf numFmtId="0" fontId="0" fillId="0" borderId="28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DBCA-A450-4162-966D-064B9D627C8C}">
  <dimension ref="A1:BG56"/>
  <sheetViews>
    <sheetView topLeftCell="AO1" zoomScale="75" zoomScaleNormal="75" workbookViewId="0">
      <selection activeCell="B26" sqref="B26"/>
    </sheetView>
  </sheetViews>
  <sheetFormatPr baseColWidth="10" defaultRowHeight="15" x14ac:dyDescent="0.2"/>
  <cols>
    <col min="1" max="1" width="12.83203125" customWidth="1"/>
    <col min="38" max="38" width="22.33203125" bestFit="1" customWidth="1"/>
    <col min="39" max="39" width="14" bestFit="1" customWidth="1"/>
    <col min="42" max="42" width="14" bestFit="1" customWidth="1"/>
    <col min="45" max="45" width="14" bestFit="1" customWidth="1"/>
    <col min="50" max="50" width="18.5" style="2" bestFit="1" customWidth="1"/>
    <col min="51" max="51" width="18" style="2" bestFit="1" customWidth="1"/>
    <col min="52" max="52" width="18.33203125" style="2" bestFit="1" customWidth="1"/>
    <col min="53" max="59" width="11.5" style="2"/>
  </cols>
  <sheetData>
    <row r="1" spans="1:59" ht="16" x14ac:dyDescent="0.2">
      <c r="AK1" s="2"/>
      <c r="AL1" s="2"/>
      <c r="AX1" s="11"/>
      <c r="AY1" s="11"/>
    </row>
    <row r="2" spans="1:59" ht="16" x14ac:dyDescent="0.2">
      <c r="A2" s="23" t="s">
        <v>209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0" t="s">
        <v>210</v>
      </c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K2" s="2"/>
      <c r="AL2" s="2"/>
      <c r="AM2" s="32" t="s">
        <v>118</v>
      </c>
      <c r="AN2" s="32"/>
      <c r="AO2" s="32"/>
      <c r="AP2" s="32" t="s">
        <v>119</v>
      </c>
      <c r="AQ2" s="32"/>
      <c r="AR2" s="32"/>
      <c r="AS2" s="32" t="s">
        <v>143</v>
      </c>
      <c r="AT2" s="32"/>
      <c r="AU2" s="32"/>
      <c r="AX2" s="27"/>
      <c r="AY2" s="25" t="s">
        <v>142</v>
      </c>
      <c r="AZ2" s="29" t="s">
        <v>118</v>
      </c>
      <c r="BA2" s="29"/>
      <c r="BB2" s="29" t="s">
        <v>119</v>
      </c>
      <c r="BC2" s="29"/>
      <c r="BD2" s="29"/>
      <c r="BE2" s="29" t="s">
        <v>120</v>
      </c>
      <c r="BF2" s="29"/>
      <c r="BG2" s="29"/>
    </row>
    <row r="3" spans="1:59" ht="16" x14ac:dyDescent="0.2">
      <c r="A3" s="1" t="s">
        <v>118</v>
      </c>
      <c r="B3" s="18" t="s">
        <v>208</v>
      </c>
      <c r="C3" s="18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11</v>
      </c>
      <c r="O3" s="18" t="s">
        <v>12</v>
      </c>
      <c r="P3" s="18" t="s">
        <v>13</v>
      </c>
      <c r="Q3" s="18" t="s">
        <v>14</v>
      </c>
      <c r="R3" s="18" t="s">
        <v>15</v>
      </c>
      <c r="S3" s="18" t="s">
        <v>16</v>
      </c>
      <c r="T3" s="18" t="s">
        <v>17</v>
      </c>
      <c r="U3" s="19" t="s">
        <v>46</v>
      </c>
      <c r="V3" s="19" t="s">
        <v>47</v>
      </c>
      <c r="W3" s="19" t="s">
        <v>48</v>
      </c>
      <c r="X3" s="19" t="s">
        <v>49</v>
      </c>
      <c r="Y3" s="19" t="s">
        <v>50</v>
      </c>
      <c r="Z3" s="19" t="s">
        <v>51</v>
      </c>
      <c r="AA3" s="19" t="s">
        <v>124</v>
      </c>
      <c r="AB3" s="19" t="s">
        <v>125</v>
      </c>
      <c r="AC3" s="19" t="s">
        <v>126</v>
      </c>
      <c r="AD3" s="19" t="s">
        <v>127</v>
      </c>
      <c r="AE3" s="19" t="s">
        <v>128</v>
      </c>
      <c r="AF3" s="19" t="s">
        <v>129</v>
      </c>
      <c r="AG3" s="19" t="s">
        <v>130</v>
      </c>
      <c r="AH3" s="19" t="s">
        <v>131</v>
      </c>
      <c r="AK3" s="8"/>
      <c r="AL3" s="8" t="s">
        <v>211</v>
      </c>
      <c r="AM3" s="8" t="s">
        <v>212</v>
      </c>
      <c r="AN3" s="8" t="s">
        <v>213</v>
      </c>
      <c r="AO3" s="8" t="s">
        <v>61</v>
      </c>
      <c r="AP3" s="8" t="s">
        <v>212</v>
      </c>
      <c r="AQ3" s="8" t="s">
        <v>213</v>
      </c>
      <c r="AR3" s="8" t="s">
        <v>61</v>
      </c>
      <c r="AS3" s="8" t="s">
        <v>212</v>
      </c>
      <c r="AT3" s="8" t="s">
        <v>213</v>
      </c>
      <c r="AU3" s="8" t="s">
        <v>61</v>
      </c>
      <c r="AX3" s="28"/>
      <c r="AY3" s="26"/>
      <c r="AZ3" s="11" t="s">
        <v>121</v>
      </c>
      <c r="BA3" s="11" t="s">
        <v>61</v>
      </c>
      <c r="BB3" s="29" t="s">
        <v>121</v>
      </c>
      <c r="BC3" s="29"/>
      <c r="BD3" s="11" t="s">
        <v>61</v>
      </c>
      <c r="BE3" s="29" t="s">
        <v>121</v>
      </c>
      <c r="BF3" s="29"/>
      <c r="BG3" s="11" t="s">
        <v>61</v>
      </c>
    </row>
    <row r="4" spans="1:59" ht="16" x14ac:dyDescent="0.2">
      <c r="A4" s="22" t="s">
        <v>122</v>
      </c>
      <c r="B4" s="3" t="s">
        <v>18</v>
      </c>
      <c r="C4" s="4">
        <v>0.13350000000000001</v>
      </c>
      <c r="D4" s="4">
        <v>0.27825</v>
      </c>
      <c r="E4" s="4">
        <v>0.17349999999999999</v>
      </c>
      <c r="F4" s="4">
        <v>0.15625</v>
      </c>
      <c r="G4" s="4">
        <v>0.12424999999999999</v>
      </c>
      <c r="H4" s="4">
        <v>0.15274999999999997</v>
      </c>
      <c r="I4" s="4">
        <v>0.13800000000000001</v>
      </c>
      <c r="J4" s="4">
        <v>0.1085</v>
      </c>
      <c r="K4" s="4">
        <v>0.18675</v>
      </c>
      <c r="L4" s="4">
        <v>0.1285</v>
      </c>
      <c r="M4" s="4">
        <v>0.24825</v>
      </c>
      <c r="N4" s="4">
        <v>0.19900000000000001</v>
      </c>
      <c r="O4" s="4">
        <v>0.15975</v>
      </c>
      <c r="P4" s="4"/>
      <c r="Q4" s="4"/>
      <c r="R4" s="4"/>
      <c r="S4" s="4"/>
      <c r="T4" s="4"/>
      <c r="U4" s="6">
        <v>0.15825</v>
      </c>
      <c r="V4" s="6"/>
      <c r="W4" s="7">
        <v>0.155</v>
      </c>
      <c r="X4" s="6">
        <v>0.14074999999999996</v>
      </c>
      <c r="Y4" s="6">
        <v>0.12549999999999997</v>
      </c>
      <c r="Z4" s="6">
        <v>0.14699999999999999</v>
      </c>
      <c r="AA4" s="6">
        <v>9.1999999999999985E-2</v>
      </c>
      <c r="AB4" s="6">
        <v>0.13775000000000001</v>
      </c>
      <c r="AC4" s="6">
        <v>0.20849999999999999</v>
      </c>
      <c r="AD4" s="6">
        <v>0.22775000000000001</v>
      </c>
      <c r="AE4" s="6">
        <v>0.16375000000000003</v>
      </c>
      <c r="AF4" s="6"/>
      <c r="AG4" s="6"/>
      <c r="AH4" s="6"/>
      <c r="AK4" s="33" t="s">
        <v>122</v>
      </c>
      <c r="AL4" s="8" t="s">
        <v>18</v>
      </c>
      <c r="AM4" s="9">
        <f t="shared" ref="AM4:AM13" si="0">AVERAGE(C4:AH4)</f>
        <v>0.16276086956521735</v>
      </c>
      <c r="AN4" s="9">
        <f t="shared" ref="AN4:AN13" si="1">_xlfn.STDEV.S(C4:AH4)</f>
        <v>4.4733267457132124E-2</v>
      </c>
      <c r="AO4" s="9">
        <f>(AM4/$AM$35)*100</f>
        <v>5.3110579264564306E-2</v>
      </c>
      <c r="AP4" s="9">
        <f>AVERAGE(C33:AH33)</f>
        <v>0.21688541666666669</v>
      </c>
      <c r="AQ4" s="9">
        <f>_xlfn.STDEV.S(C33:AH33)</f>
        <v>4.3420215386000049E-2</v>
      </c>
      <c r="AR4" s="9">
        <f>(AP4/$AP$35)*100</f>
        <v>0.86825039693237271</v>
      </c>
      <c r="AS4" s="9">
        <f>AVERAGE(C48:AH48)</f>
        <v>0.26245833333333329</v>
      </c>
      <c r="AT4" s="9">
        <f>_xlfn.STDEV.S(C48:AH48)</f>
        <v>2.9528971281226921E-2</v>
      </c>
      <c r="AU4" s="9">
        <f>(AS4/$AS$35)*100</f>
        <v>1.3728008824406537</v>
      </c>
      <c r="AX4" s="27" t="s">
        <v>122</v>
      </c>
      <c r="AY4" s="12" t="s">
        <v>18</v>
      </c>
      <c r="AZ4" s="12" t="s">
        <v>66</v>
      </c>
      <c r="BA4" s="12">
        <v>0.05</v>
      </c>
      <c r="BB4" s="27" t="s">
        <v>105</v>
      </c>
      <c r="BC4" s="27"/>
      <c r="BD4" s="12">
        <v>0.87</v>
      </c>
      <c r="BE4" s="27" t="s">
        <v>67</v>
      </c>
      <c r="BF4" s="27"/>
      <c r="BG4" s="12">
        <v>1.37</v>
      </c>
    </row>
    <row r="5" spans="1:59" ht="16" x14ac:dyDescent="0.2">
      <c r="A5" s="22"/>
      <c r="B5" s="3" t="s">
        <v>19</v>
      </c>
      <c r="C5" s="4">
        <v>0.21025000000000002</v>
      </c>
      <c r="D5" s="4">
        <v>0.37574999999999997</v>
      </c>
      <c r="E5" s="4">
        <v>0.58450000000000002</v>
      </c>
      <c r="F5" s="4">
        <v>0.28649999999999998</v>
      </c>
      <c r="G5" s="4">
        <v>0.38324999999999992</v>
      </c>
      <c r="H5" s="4">
        <v>0.20949999999999996</v>
      </c>
      <c r="I5" s="4">
        <v>0.45399999999999996</v>
      </c>
      <c r="J5" s="4">
        <v>0.42799999999999999</v>
      </c>
      <c r="K5" s="4">
        <v>0.34200000000000003</v>
      </c>
      <c r="L5" s="4">
        <v>0.33875000000000005</v>
      </c>
      <c r="M5" s="4">
        <v>0.45050000000000001</v>
      </c>
      <c r="N5" s="4">
        <v>0.3165</v>
      </c>
      <c r="O5" s="4">
        <v>0.38824999999999998</v>
      </c>
      <c r="P5" s="4">
        <v>0.28899999999999998</v>
      </c>
      <c r="Q5" s="4"/>
      <c r="R5" s="4">
        <v>0.25</v>
      </c>
      <c r="S5" s="4">
        <v>0.307</v>
      </c>
      <c r="T5" s="4">
        <v>0.40350000000000003</v>
      </c>
      <c r="U5" s="6"/>
      <c r="V5" s="6"/>
      <c r="W5" s="7">
        <v>0.35649999999999998</v>
      </c>
      <c r="X5" s="6">
        <v>0.26424999999999998</v>
      </c>
      <c r="Y5" s="6">
        <v>0.39800000000000002</v>
      </c>
      <c r="Z5" s="6">
        <v>0.43325000000000002</v>
      </c>
      <c r="AA5" s="6">
        <v>0.44999999999999996</v>
      </c>
      <c r="AB5" s="6">
        <v>0.25174999999999997</v>
      </c>
      <c r="AC5" s="6">
        <v>0.36475000000000002</v>
      </c>
      <c r="AD5" s="6">
        <v>0.39199999999999996</v>
      </c>
      <c r="AE5" s="6">
        <v>0.32824999999999999</v>
      </c>
      <c r="AF5" s="6">
        <v>0.69874999999999998</v>
      </c>
      <c r="AG5" s="6">
        <v>0.28899999999999998</v>
      </c>
      <c r="AH5" s="6">
        <v>0.38850000000000001</v>
      </c>
      <c r="AK5" s="33"/>
      <c r="AL5" s="8" t="s">
        <v>19</v>
      </c>
      <c r="AM5" s="9">
        <f t="shared" si="0"/>
        <v>0.3666293103448276</v>
      </c>
      <c r="AN5" s="9">
        <f t="shared" si="1"/>
        <v>0.10450866378750731</v>
      </c>
      <c r="AO5" s="9">
        <f t="shared" ref="AO5:AO32" si="2">(AM5/$AM$35)*100</f>
        <v>0.11963499027620542</v>
      </c>
      <c r="AP5" s="9">
        <f>AVERAGE(C34:AH34)</f>
        <v>0.77649999999999997</v>
      </c>
      <c r="AQ5" s="9" t="e">
        <f>_xlfn.STDEV.S(C34:AH34)</f>
        <v>#DIV/0!</v>
      </c>
      <c r="AR5" s="9">
        <f t="shared" ref="AR5:AR11" si="3">(AP5/$AP$35)*100</f>
        <v>3.1085374184201897</v>
      </c>
      <c r="AS5" s="9"/>
      <c r="AT5" s="9"/>
      <c r="AU5" s="9"/>
      <c r="AX5" s="30"/>
      <c r="AY5" s="13" t="s">
        <v>19</v>
      </c>
      <c r="AZ5" s="13" t="s">
        <v>68</v>
      </c>
      <c r="BA5" s="13">
        <v>0.12</v>
      </c>
      <c r="BB5" s="30" t="s">
        <v>114</v>
      </c>
      <c r="BC5" s="30"/>
      <c r="BD5" s="13">
        <v>3.11</v>
      </c>
      <c r="BE5" s="30" t="s">
        <v>117</v>
      </c>
      <c r="BF5" s="30"/>
      <c r="BG5" s="13" t="s">
        <v>117</v>
      </c>
    </row>
    <row r="6" spans="1:59" ht="16" x14ac:dyDescent="0.2">
      <c r="A6" s="22"/>
      <c r="B6" s="3" t="s">
        <v>20</v>
      </c>
      <c r="C6" s="4"/>
      <c r="D6" s="4"/>
      <c r="E6" s="4"/>
      <c r="F6" s="4"/>
      <c r="G6" s="4">
        <v>0.23799999999999996</v>
      </c>
      <c r="H6" s="4"/>
      <c r="I6" s="4"/>
      <c r="J6" s="4"/>
      <c r="K6" s="4">
        <v>0.26200000000000001</v>
      </c>
      <c r="L6" s="4"/>
      <c r="M6" s="4">
        <v>0.307</v>
      </c>
      <c r="N6" s="4">
        <v>0.19825000000000004</v>
      </c>
      <c r="O6" s="4">
        <v>0.34399999999999992</v>
      </c>
      <c r="P6" s="4"/>
      <c r="Q6" s="4"/>
      <c r="R6" s="4"/>
      <c r="S6" s="4"/>
      <c r="T6" s="4"/>
      <c r="U6" s="6"/>
      <c r="V6" s="6"/>
      <c r="W6" s="7">
        <v>0.23124999999999998</v>
      </c>
      <c r="X6" s="6"/>
      <c r="Y6" s="6"/>
      <c r="Z6" s="6">
        <v>0.34350000000000003</v>
      </c>
      <c r="AA6" s="6">
        <v>0.25224999999999997</v>
      </c>
      <c r="AB6" s="6"/>
      <c r="AC6" s="6"/>
      <c r="AD6" s="6">
        <v>0.26224999999999993</v>
      </c>
      <c r="AE6" s="6"/>
      <c r="AF6" s="6"/>
      <c r="AG6" s="6"/>
      <c r="AH6" s="6"/>
      <c r="AK6" s="33"/>
      <c r="AL6" s="8" t="s">
        <v>20</v>
      </c>
      <c r="AM6" s="9">
        <f>AVERAGE(C6:AH6)</f>
        <v>0.27094444444444443</v>
      </c>
      <c r="AN6" s="9">
        <f t="shared" si="1"/>
        <v>5.0438046431020428E-2</v>
      </c>
      <c r="AO6" s="9">
        <f t="shared" si="2"/>
        <v>8.8412014702305392E-2</v>
      </c>
      <c r="AP6" s="9"/>
      <c r="AQ6" s="9"/>
      <c r="AR6" s="9"/>
      <c r="AS6" s="9"/>
      <c r="AT6" s="9"/>
      <c r="AU6" s="9"/>
      <c r="AX6" s="30"/>
      <c r="AY6" s="13" t="s">
        <v>20</v>
      </c>
      <c r="AZ6" s="13" t="s">
        <v>69</v>
      </c>
      <c r="BA6" s="13">
        <v>0.09</v>
      </c>
      <c r="BB6" s="30" t="s">
        <v>117</v>
      </c>
      <c r="BC6" s="30"/>
      <c r="BD6" s="13" t="s">
        <v>117</v>
      </c>
      <c r="BE6" s="30" t="s">
        <v>117</v>
      </c>
      <c r="BF6" s="30"/>
      <c r="BG6" s="13" t="s">
        <v>117</v>
      </c>
    </row>
    <row r="7" spans="1:59" ht="16" x14ac:dyDescent="0.2">
      <c r="A7" s="22"/>
      <c r="B7" s="3" t="s">
        <v>21</v>
      </c>
      <c r="C7" s="4">
        <v>10.748250000000001</v>
      </c>
      <c r="D7" s="4">
        <v>18.632000000000001</v>
      </c>
      <c r="E7" s="4">
        <v>14.780999999999999</v>
      </c>
      <c r="F7" s="4">
        <v>10.582999999999998</v>
      </c>
      <c r="G7" s="4">
        <v>19.634499999999999</v>
      </c>
      <c r="H7" s="4">
        <v>12.123250000000001</v>
      </c>
      <c r="I7" s="4">
        <v>16.893249999999998</v>
      </c>
      <c r="J7" s="4">
        <v>18.347249999999999</v>
      </c>
      <c r="K7" s="4">
        <v>14.011500000000002</v>
      </c>
      <c r="L7" s="4">
        <v>19.812249999999999</v>
      </c>
      <c r="M7" s="4">
        <v>23.432500000000001</v>
      </c>
      <c r="N7" s="4">
        <v>17.610250000000001</v>
      </c>
      <c r="O7" s="4">
        <v>21.542999999999999</v>
      </c>
      <c r="P7" s="4">
        <v>16.3035</v>
      </c>
      <c r="Q7" s="4">
        <v>6.9980000000000002</v>
      </c>
      <c r="R7" s="4">
        <v>7.5822500000000002</v>
      </c>
      <c r="S7" s="4">
        <v>14.496999999999998</v>
      </c>
      <c r="T7" s="4">
        <v>14.719749999999998</v>
      </c>
      <c r="U7" s="6">
        <v>17.082249999999998</v>
      </c>
      <c r="V7" s="6">
        <v>9.7147500000000004</v>
      </c>
      <c r="W7" s="7">
        <v>18.016749999999998</v>
      </c>
      <c r="X7" s="6">
        <v>10.250999999999999</v>
      </c>
      <c r="Y7" s="6">
        <v>15.378249999999998</v>
      </c>
      <c r="Z7" s="6">
        <v>18.097999999999999</v>
      </c>
      <c r="AA7" s="6">
        <v>13.675999999999998</v>
      </c>
      <c r="AB7" s="6">
        <v>10.390750000000001</v>
      </c>
      <c r="AC7" s="6">
        <v>9.1972500000000004</v>
      </c>
      <c r="AD7" s="6">
        <v>20.207750000000001</v>
      </c>
      <c r="AE7" s="6">
        <v>15.5185</v>
      </c>
      <c r="AF7" s="6">
        <v>12.964499999999997</v>
      </c>
      <c r="AG7" s="6">
        <v>10.212999999999999</v>
      </c>
      <c r="AH7" s="6">
        <v>17.959</v>
      </c>
      <c r="AK7" s="33"/>
      <c r="AL7" s="8" t="s">
        <v>21</v>
      </c>
      <c r="AM7" s="9">
        <f t="shared" si="0"/>
        <v>14.903757812499999</v>
      </c>
      <c r="AN7" s="9">
        <f t="shared" si="1"/>
        <v>4.2295536829306073</v>
      </c>
      <c r="AO7" s="9">
        <f t="shared" si="2"/>
        <v>4.8632525296473812</v>
      </c>
      <c r="AP7" s="9">
        <f>AVERAGE(C35:AH35)</f>
        <v>0.28051562500000005</v>
      </c>
      <c r="AQ7" s="9">
        <f>_xlfn.STDEV.S(C35:AH35)</f>
        <v>0.12354299078829456</v>
      </c>
      <c r="AR7" s="9">
        <f t="shared" si="3"/>
        <v>1.1229791587431117</v>
      </c>
      <c r="AS7" s="9">
        <f>AVERAGE(C49:AH49)</f>
        <v>0.20674999999999999</v>
      </c>
      <c r="AT7" s="9">
        <f>_xlfn.STDEV.S(C49:AH49)</f>
        <v>5.0744457825460968E-3</v>
      </c>
      <c r="AU7" s="9">
        <f t="shared" ref="AU7:AU11" si="4">(AS7/$AS$35)*100</f>
        <v>1.0814157768964161</v>
      </c>
      <c r="AX7" s="30"/>
      <c r="AY7" s="13" t="s">
        <v>21</v>
      </c>
      <c r="AZ7" s="13" t="s">
        <v>70</v>
      </c>
      <c r="BA7" s="13">
        <v>4.8600000000000003</v>
      </c>
      <c r="BB7" s="30" t="s">
        <v>106</v>
      </c>
      <c r="BC7" s="30"/>
      <c r="BD7" s="13">
        <v>1.1200000000000001</v>
      </c>
      <c r="BE7" s="30" t="s">
        <v>71</v>
      </c>
      <c r="BF7" s="30"/>
      <c r="BG7" s="13">
        <v>1.08</v>
      </c>
    </row>
    <row r="8" spans="1:59" ht="16" x14ac:dyDescent="0.2">
      <c r="A8" s="22"/>
      <c r="B8" s="3" t="s">
        <v>22</v>
      </c>
      <c r="C8" s="4">
        <v>1.39625</v>
      </c>
      <c r="D8" s="4">
        <v>2.4910000000000001</v>
      </c>
      <c r="E8" s="4">
        <v>1.9407499999999998</v>
      </c>
      <c r="F8" s="4">
        <v>1.3154999999999999</v>
      </c>
      <c r="G8" s="4">
        <v>1.6952500000000001</v>
      </c>
      <c r="H8" s="4">
        <v>1.4950000000000001</v>
      </c>
      <c r="I8" s="4">
        <v>2.0874999999999999</v>
      </c>
      <c r="J8" s="4">
        <v>2.48475</v>
      </c>
      <c r="K8" s="4">
        <v>1.6467499999999999</v>
      </c>
      <c r="L8" s="4">
        <v>1.5894999999999999</v>
      </c>
      <c r="M8" s="4">
        <v>2.3944999999999999</v>
      </c>
      <c r="N8" s="4">
        <v>2.0609999999999999</v>
      </c>
      <c r="O8" s="4">
        <v>2.2244999999999995</v>
      </c>
      <c r="P8" s="4">
        <v>1.50875</v>
      </c>
      <c r="Q8" s="4">
        <v>0.91125000000000012</v>
      </c>
      <c r="R8" s="4">
        <v>0.84225000000000005</v>
      </c>
      <c r="S8" s="4">
        <v>1.3667499999999999</v>
      </c>
      <c r="T8" s="4">
        <v>1.4702500000000001</v>
      </c>
      <c r="U8" s="6">
        <v>2.2792500000000002</v>
      </c>
      <c r="V8" s="6">
        <v>1.36775</v>
      </c>
      <c r="W8" s="7">
        <v>2.0492499999999998</v>
      </c>
      <c r="X8" s="6">
        <v>1.341</v>
      </c>
      <c r="Y8" s="6">
        <v>1.6259999999999997</v>
      </c>
      <c r="Z8" s="6">
        <v>2.2614999999999998</v>
      </c>
      <c r="AA8" s="6">
        <v>1.857</v>
      </c>
      <c r="AB8" s="6">
        <v>1.3380000000000001</v>
      </c>
      <c r="AC8" s="6">
        <v>1.04575</v>
      </c>
      <c r="AD8" s="6">
        <v>1.9097500000000001</v>
      </c>
      <c r="AE8" s="6">
        <v>1.58725</v>
      </c>
      <c r="AF8" s="6">
        <v>1.31925</v>
      </c>
      <c r="AG8" s="6">
        <v>1.2940000000000003</v>
      </c>
      <c r="AH8" s="6">
        <v>1.60975</v>
      </c>
      <c r="AK8" s="33"/>
      <c r="AL8" s="8" t="s">
        <v>22</v>
      </c>
      <c r="AM8" s="9">
        <f t="shared" si="0"/>
        <v>1.6814687499999996</v>
      </c>
      <c r="AN8" s="9">
        <f t="shared" si="1"/>
        <v>0.44568903139028976</v>
      </c>
      <c r="AO8" s="9">
        <f t="shared" si="2"/>
        <v>0.54868089342554993</v>
      </c>
      <c r="AQ8" s="9"/>
      <c r="AR8" s="9"/>
      <c r="AS8" s="9"/>
      <c r="AT8" s="9"/>
      <c r="AU8" s="9"/>
      <c r="AX8" s="30"/>
      <c r="AY8" s="13" t="s">
        <v>22</v>
      </c>
      <c r="AZ8" s="13" t="s">
        <v>72</v>
      </c>
      <c r="BA8" s="13">
        <v>0.54</v>
      </c>
      <c r="BB8" s="30" t="s">
        <v>117</v>
      </c>
      <c r="BC8" s="30"/>
      <c r="BD8" s="13" t="s">
        <v>117</v>
      </c>
      <c r="BE8" s="30" t="s">
        <v>117</v>
      </c>
      <c r="BF8" s="30"/>
      <c r="BG8" s="13" t="s">
        <v>117</v>
      </c>
    </row>
    <row r="9" spans="1:59" ht="16" x14ac:dyDescent="0.2">
      <c r="A9" s="22"/>
      <c r="B9" s="3" t="s">
        <v>23</v>
      </c>
      <c r="C9" s="4">
        <v>37.432250000000003</v>
      </c>
      <c r="D9" s="4">
        <v>63.858500000000006</v>
      </c>
      <c r="E9" s="4">
        <v>56.805749999999996</v>
      </c>
      <c r="F9" s="4">
        <v>40.280999999999999</v>
      </c>
      <c r="G9" s="4">
        <v>64.8125</v>
      </c>
      <c r="H9" s="4">
        <v>53.157499999999999</v>
      </c>
      <c r="I9" s="4">
        <v>62.177250000000008</v>
      </c>
      <c r="J9" s="4">
        <v>66.714749999999981</v>
      </c>
      <c r="K9" s="4">
        <v>48.585999999999999</v>
      </c>
      <c r="L9" s="4">
        <v>68.948250000000016</v>
      </c>
      <c r="M9" s="4">
        <v>77.885499999999979</v>
      </c>
      <c r="N9" s="4">
        <v>59.946749999999994</v>
      </c>
      <c r="O9" s="4">
        <v>77.544749999999993</v>
      </c>
      <c r="P9" s="4">
        <v>56.926500000000004</v>
      </c>
      <c r="Q9" s="4">
        <v>31.308499999999999</v>
      </c>
      <c r="R9" s="4">
        <v>31.412749999999999</v>
      </c>
      <c r="S9" s="4">
        <v>48.330249999999999</v>
      </c>
      <c r="T9" s="4">
        <v>51.744999999999997</v>
      </c>
      <c r="U9" s="6">
        <v>56.218749999999993</v>
      </c>
      <c r="V9" s="6">
        <v>38.917000000000002</v>
      </c>
      <c r="W9" s="7">
        <v>70.941000000000003</v>
      </c>
      <c r="X9" s="6">
        <v>49.146000000000008</v>
      </c>
      <c r="Y9" s="6">
        <v>58.908249999999995</v>
      </c>
      <c r="Z9" s="6">
        <v>69.053749999999994</v>
      </c>
      <c r="AA9" s="6">
        <v>50.215249999999997</v>
      </c>
      <c r="AB9" s="6">
        <v>37.418500000000002</v>
      </c>
      <c r="AC9" s="6">
        <v>33.432000000000002</v>
      </c>
      <c r="AD9" s="6">
        <v>72.283000000000001</v>
      </c>
      <c r="AE9" s="6">
        <v>50.153999999999996</v>
      </c>
      <c r="AF9" s="6">
        <v>43.405500000000004</v>
      </c>
      <c r="AG9" s="6">
        <v>39.146000000000001</v>
      </c>
      <c r="AH9" s="6">
        <v>55.89725</v>
      </c>
      <c r="AK9" s="33"/>
      <c r="AL9" s="8" t="s">
        <v>23</v>
      </c>
      <c r="AM9" s="9">
        <f t="shared" si="0"/>
        <v>53.844062499999986</v>
      </c>
      <c r="AN9" s="9">
        <f t="shared" si="1"/>
        <v>13.426695877448259</v>
      </c>
      <c r="AO9" s="9">
        <f t="shared" si="2"/>
        <v>17.569882472190546</v>
      </c>
      <c r="AP9" s="9">
        <f>AVERAGE(C36:AH36)</f>
        <v>4.3408281250000007</v>
      </c>
      <c r="AQ9" s="9">
        <f>_xlfn.STDEV.S(C36:AH36)</f>
        <v>0.96486966033839361</v>
      </c>
      <c r="AR9" s="9">
        <f t="shared" si="3"/>
        <v>17.377497300055705</v>
      </c>
      <c r="AS9" s="9">
        <f>AVERAGE(C50:AH50)</f>
        <v>3.5284354838709677</v>
      </c>
      <c r="AT9" s="9">
        <f>_xlfn.STDEV.S((C50:AH50))</f>
        <v>0.54450176372434611</v>
      </c>
      <c r="AU9" s="9">
        <f t="shared" si="4"/>
        <v>18.455650786066286</v>
      </c>
      <c r="AX9" s="30"/>
      <c r="AY9" s="13" t="s">
        <v>23</v>
      </c>
      <c r="AZ9" s="13" t="s">
        <v>73</v>
      </c>
      <c r="BA9" s="13">
        <v>17.57</v>
      </c>
      <c r="BB9" s="30" t="s">
        <v>107</v>
      </c>
      <c r="BC9" s="30"/>
      <c r="BD9" s="13">
        <v>17.38</v>
      </c>
      <c r="BE9" s="30" t="s">
        <v>74</v>
      </c>
      <c r="BF9" s="30"/>
      <c r="BG9" s="13">
        <v>18.46</v>
      </c>
    </row>
    <row r="10" spans="1:59" ht="16" x14ac:dyDescent="0.2">
      <c r="A10" s="22"/>
      <c r="B10" s="3" t="s">
        <v>24</v>
      </c>
      <c r="C10" s="4">
        <v>1.7000000000000002</v>
      </c>
      <c r="D10" s="4">
        <v>2.8977499999999998</v>
      </c>
      <c r="E10" s="4">
        <v>2.3849999999999998</v>
      </c>
      <c r="F10" s="4">
        <v>1.8307500000000001</v>
      </c>
      <c r="G10" s="4">
        <v>1.7642500000000001</v>
      </c>
      <c r="H10" s="4">
        <v>2.0177499999999995</v>
      </c>
      <c r="I10" s="4">
        <v>2.8297500000000002</v>
      </c>
      <c r="J10" s="4">
        <v>3.4122499999999993</v>
      </c>
      <c r="K10" s="4">
        <v>2.0990000000000002</v>
      </c>
      <c r="L10" s="4">
        <v>1.86225</v>
      </c>
      <c r="M10" s="4">
        <v>2.9459999999999997</v>
      </c>
      <c r="N10" s="4">
        <v>2.37575</v>
      </c>
      <c r="O10" s="4">
        <v>2.6219999999999999</v>
      </c>
      <c r="P10" s="4">
        <v>2.1360000000000001</v>
      </c>
      <c r="Q10" s="4">
        <v>1.3734999999999999</v>
      </c>
      <c r="R10" s="4">
        <v>1.4382499999999998</v>
      </c>
      <c r="S10" s="4">
        <v>2.0502500000000001</v>
      </c>
      <c r="T10" s="4">
        <v>2.2302499999999998</v>
      </c>
      <c r="U10" s="6">
        <v>3.0157500000000002</v>
      </c>
      <c r="V10" s="6">
        <v>1.7949999999999999</v>
      </c>
      <c r="W10" s="7">
        <v>2.5325000000000002</v>
      </c>
      <c r="X10" s="6">
        <v>1.9102499999999998</v>
      </c>
      <c r="Y10" s="6">
        <v>2.3554999999999997</v>
      </c>
      <c r="Z10" s="6">
        <v>2.68275</v>
      </c>
      <c r="AA10" s="6">
        <v>2.2787500000000001</v>
      </c>
      <c r="AB10" s="6">
        <v>1.7884999999999998</v>
      </c>
      <c r="AC10" s="6">
        <v>1.5634999999999999</v>
      </c>
      <c r="AD10" s="6">
        <v>2.2280000000000002</v>
      </c>
      <c r="AE10" s="6">
        <v>1.9564999999999999</v>
      </c>
      <c r="AF10" s="6">
        <v>2.0285000000000002</v>
      </c>
      <c r="AG10" s="6">
        <v>1.4615</v>
      </c>
      <c r="AH10" s="6">
        <v>2.319</v>
      </c>
      <c r="AK10" s="33"/>
      <c r="AL10" s="8" t="s">
        <v>24</v>
      </c>
      <c r="AM10" s="9">
        <f t="shared" si="0"/>
        <v>2.1839609374999993</v>
      </c>
      <c r="AN10" s="9">
        <f t="shared" si="1"/>
        <v>0.49773348836604459</v>
      </c>
      <c r="AO10" s="9">
        <f t="shared" si="2"/>
        <v>0.71264936585589322</v>
      </c>
      <c r="AP10" s="9">
        <f>AVERAGE(C37:AH37)</f>
        <v>0.41020000000000001</v>
      </c>
      <c r="AQ10" s="9">
        <f>_xlfn.STDEV.S(C37:AH37)</f>
        <v>0.13739828561117068</v>
      </c>
      <c r="AR10" s="9">
        <f t="shared" si="3"/>
        <v>1.6421404366206851</v>
      </c>
      <c r="AS10" s="9"/>
      <c r="AT10" s="9"/>
      <c r="AU10" s="9">
        <f t="shared" si="4"/>
        <v>0</v>
      </c>
      <c r="AX10" s="30"/>
      <c r="AY10" s="13" t="s">
        <v>24</v>
      </c>
      <c r="AZ10" s="13" t="s">
        <v>75</v>
      </c>
      <c r="BA10" s="13">
        <v>0.71</v>
      </c>
      <c r="BB10" s="30" t="s">
        <v>108</v>
      </c>
      <c r="BC10" s="30"/>
      <c r="BD10" s="13">
        <v>1.64</v>
      </c>
      <c r="BE10" s="30" t="s">
        <v>117</v>
      </c>
      <c r="BF10" s="30"/>
      <c r="BG10" s="13">
        <v>0</v>
      </c>
    </row>
    <row r="11" spans="1:59" ht="16" x14ac:dyDescent="0.2">
      <c r="A11" s="22"/>
      <c r="B11" s="3" t="s">
        <v>25</v>
      </c>
      <c r="C11" s="4">
        <v>8.4827499999999976</v>
      </c>
      <c r="D11" s="4">
        <v>15.736250000000002</v>
      </c>
      <c r="E11" s="4">
        <v>14.728250000000001</v>
      </c>
      <c r="F11" s="4">
        <v>9.1837499999999999</v>
      </c>
      <c r="G11" s="4">
        <v>10.1555</v>
      </c>
      <c r="H11" s="4">
        <v>12.2325</v>
      </c>
      <c r="I11" s="4">
        <v>14.47175</v>
      </c>
      <c r="J11" s="4">
        <v>18.323250000000002</v>
      </c>
      <c r="K11" s="4">
        <v>10.633749999999999</v>
      </c>
      <c r="L11" s="4">
        <v>11.770250000000001</v>
      </c>
      <c r="M11" s="4">
        <v>15.70725</v>
      </c>
      <c r="N11" s="4">
        <v>13.191750000000003</v>
      </c>
      <c r="O11" s="4">
        <v>17.23875</v>
      </c>
      <c r="P11" s="4">
        <v>11.310750000000001</v>
      </c>
      <c r="Q11" s="4">
        <v>8.2222500000000007</v>
      </c>
      <c r="R11" s="4">
        <v>8.2799999999999994</v>
      </c>
      <c r="S11" s="4">
        <v>11.164999999999999</v>
      </c>
      <c r="T11" s="4">
        <v>11.2065</v>
      </c>
      <c r="U11" s="6">
        <v>13.694999999999999</v>
      </c>
      <c r="V11" s="6">
        <v>10.93975</v>
      </c>
      <c r="W11" s="7">
        <v>15.712499999999999</v>
      </c>
      <c r="X11" s="6">
        <v>12.662000000000001</v>
      </c>
      <c r="Y11" s="6">
        <v>17.088000000000001</v>
      </c>
      <c r="Z11" s="6">
        <v>16.104749999999999</v>
      </c>
      <c r="AA11" s="6">
        <v>13.619</v>
      </c>
      <c r="AB11" s="6">
        <v>10.30425</v>
      </c>
      <c r="AC11" s="6">
        <v>10.407</v>
      </c>
      <c r="AD11" s="6">
        <v>13.93075</v>
      </c>
      <c r="AE11" s="6">
        <v>10.164</v>
      </c>
      <c r="AF11" s="6">
        <v>10.897</v>
      </c>
      <c r="AG11" s="6">
        <v>9.5157499999999988</v>
      </c>
      <c r="AH11" s="6">
        <v>11.179</v>
      </c>
      <c r="AK11" s="33"/>
      <c r="AL11" s="8" t="s">
        <v>25</v>
      </c>
      <c r="AM11" s="9">
        <f t="shared" si="0"/>
        <v>12.44559375</v>
      </c>
      <c r="AN11" s="9">
        <f t="shared" si="1"/>
        <v>2.8025932193281582</v>
      </c>
      <c r="AO11" s="9">
        <f t="shared" si="2"/>
        <v>4.0611278074370647</v>
      </c>
      <c r="AP11" s="9">
        <f>AVERAGE(C38:AH38)</f>
        <v>2.3576562500000002</v>
      </c>
      <c r="AQ11" s="9">
        <f>_xlfn.STDEV.S(C38:AH38)</f>
        <v>0.88070566178582843</v>
      </c>
      <c r="AR11" s="9">
        <f t="shared" si="3"/>
        <v>9.4383292632288818</v>
      </c>
      <c r="AS11" s="9">
        <f>AVERAGE(C51:AH51)</f>
        <v>1.2290234375000002</v>
      </c>
      <c r="AT11" s="9">
        <f>_xlfn.STDEV.S(C51:AH51)</f>
        <v>0.2692741240231718</v>
      </c>
      <c r="AU11" s="9">
        <f t="shared" si="4"/>
        <v>6.4284659515742044</v>
      </c>
      <c r="AX11" s="30"/>
      <c r="AY11" s="13" t="s">
        <v>25</v>
      </c>
      <c r="AZ11" s="13" t="s">
        <v>76</v>
      </c>
      <c r="BA11" s="13">
        <v>4.0599999999999996</v>
      </c>
      <c r="BB11" s="30" t="s">
        <v>109</v>
      </c>
      <c r="BC11" s="30"/>
      <c r="BD11" s="13">
        <v>9.44</v>
      </c>
      <c r="BE11" s="30" t="s">
        <v>77</v>
      </c>
      <c r="BF11" s="30"/>
      <c r="BG11" s="13">
        <v>6.43</v>
      </c>
    </row>
    <row r="12" spans="1:59" ht="16" x14ac:dyDescent="0.2">
      <c r="A12" s="22"/>
      <c r="B12" s="3" t="s">
        <v>26</v>
      </c>
      <c r="C12" s="4">
        <v>0.86224999999999985</v>
      </c>
      <c r="D12" s="4">
        <v>2.3697499999999998</v>
      </c>
      <c r="E12" s="4">
        <v>1.1897500000000001</v>
      </c>
      <c r="F12" s="4">
        <v>0.93949999999999989</v>
      </c>
      <c r="G12" s="4">
        <v>1.5509999999999999</v>
      </c>
      <c r="H12" s="4">
        <v>0.86425000000000007</v>
      </c>
      <c r="I12" s="4">
        <v>1.7927500000000003</v>
      </c>
      <c r="J12" s="4">
        <v>1.6702500000000002</v>
      </c>
      <c r="K12" s="4">
        <v>1.6294999999999997</v>
      </c>
      <c r="L12" s="4">
        <v>1.39175</v>
      </c>
      <c r="M12" s="4">
        <v>2.08325</v>
      </c>
      <c r="N12" s="4">
        <v>1.7877499999999997</v>
      </c>
      <c r="O12" s="4">
        <v>2.0187499999999998</v>
      </c>
      <c r="P12" s="4">
        <v>1.2795000000000003</v>
      </c>
      <c r="Q12" s="4">
        <v>0.67225000000000001</v>
      </c>
      <c r="R12" s="4">
        <v>1.0922499999999999</v>
      </c>
      <c r="S12" s="4">
        <v>1.6557499999999998</v>
      </c>
      <c r="T12" s="4">
        <v>1.0229999999999999</v>
      </c>
      <c r="U12" s="6">
        <v>1.7244999999999997</v>
      </c>
      <c r="V12" s="6">
        <v>0.84975000000000001</v>
      </c>
      <c r="W12" s="7">
        <v>1.7247499999999998</v>
      </c>
      <c r="X12" s="6">
        <v>0.96575000000000011</v>
      </c>
      <c r="Y12" s="6">
        <v>1.1387499999999999</v>
      </c>
      <c r="Z12" s="6">
        <v>1.5605</v>
      </c>
      <c r="AA12" s="6">
        <v>2.238</v>
      </c>
      <c r="AB12" s="6">
        <v>1.0927500000000001</v>
      </c>
      <c r="AC12" s="6">
        <v>1.367</v>
      </c>
      <c r="AD12" s="6">
        <v>1.85425</v>
      </c>
      <c r="AE12" s="6">
        <v>1.8819999999999999</v>
      </c>
      <c r="AF12" s="6">
        <v>1.179</v>
      </c>
      <c r="AG12" s="6">
        <v>0.91174999999999984</v>
      </c>
      <c r="AH12" s="6">
        <v>1.4357500000000001</v>
      </c>
      <c r="AK12" s="33"/>
      <c r="AL12" s="8" t="s">
        <v>26</v>
      </c>
      <c r="AM12" s="9">
        <f t="shared" si="0"/>
        <v>1.4311796874999998</v>
      </c>
      <c r="AN12" s="9">
        <f t="shared" si="1"/>
        <v>0.44764808432146075</v>
      </c>
      <c r="AO12" s="9">
        <f t="shared" si="2"/>
        <v>0.46700894654747488</v>
      </c>
      <c r="AP12" s="9"/>
      <c r="AQ12" s="9"/>
      <c r="AR12" s="9"/>
      <c r="AS12" s="9"/>
      <c r="AT12" s="9"/>
      <c r="AU12" s="9"/>
      <c r="AX12" s="30"/>
      <c r="AY12" s="13" t="s">
        <v>26</v>
      </c>
      <c r="AZ12" s="13" t="s">
        <v>78</v>
      </c>
      <c r="BA12" s="13">
        <v>0.47</v>
      </c>
      <c r="BB12" s="30" t="s">
        <v>117</v>
      </c>
      <c r="BC12" s="30"/>
      <c r="BD12" s="13" t="s">
        <v>117</v>
      </c>
      <c r="BE12" s="30" t="s">
        <v>117</v>
      </c>
      <c r="BF12" s="30"/>
      <c r="BG12" s="13" t="s">
        <v>117</v>
      </c>
    </row>
    <row r="13" spans="1:59" ht="16" x14ac:dyDescent="0.2">
      <c r="A13" s="22"/>
      <c r="B13" s="3" t="s">
        <v>27</v>
      </c>
      <c r="C13" s="4">
        <v>1.9429999999999998</v>
      </c>
      <c r="D13" s="4"/>
      <c r="E13" s="4"/>
      <c r="F13" s="4">
        <v>1.9424999999999997</v>
      </c>
      <c r="G13" s="4">
        <v>2.3984999999999999</v>
      </c>
      <c r="H13" s="4">
        <v>1.8925000000000001</v>
      </c>
      <c r="I13" s="4">
        <v>4.5032500000000004</v>
      </c>
      <c r="J13" s="4">
        <v>5.7415000000000003</v>
      </c>
      <c r="K13" s="4">
        <v>3.3077500000000004</v>
      </c>
      <c r="L13" s="4">
        <v>2.1737500000000001</v>
      </c>
      <c r="M13" s="4">
        <v>5.1814999999999998</v>
      </c>
      <c r="N13" s="4">
        <v>3.7549999999999999</v>
      </c>
      <c r="O13" s="4">
        <v>2.8860000000000001</v>
      </c>
      <c r="P13" s="4">
        <v>2.5062500000000001</v>
      </c>
      <c r="Q13" s="4">
        <v>1.33575</v>
      </c>
      <c r="R13" s="4">
        <v>1.3412500000000001</v>
      </c>
      <c r="S13" s="4">
        <v>2.28775</v>
      </c>
      <c r="T13" s="4">
        <v>4.34375</v>
      </c>
      <c r="U13" s="6">
        <v>4.691749999999999</v>
      </c>
      <c r="V13" s="6">
        <v>2.5215000000000001</v>
      </c>
      <c r="W13" s="7">
        <v>3.0405000000000002</v>
      </c>
      <c r="X13" s="6">
        <v>3.5732499999999998</v>
      </c>
      <c r="Y13" s="6">
        <v>4.6137499999999996</v>
      </c>
      <c r="Z13" s="6">
        <v>4.1612499999999999</v>
      </c>
      <c r="AA13" s="6">
        <v>3.36225</v>
      </c>
      <c r="AB13" s="6">
        <v>1.4410000000000001</v>
      </c>
      <c r="AC13" s="6">
        <v>2.7645</v>
      </c>
      <c r="AD13" s="6">
        <v>3.2229999999999994</v>
      </c>
      <c r="AE13" s="6">
        <v>2.51525</v>
      </c>
      <c r="AF13" s="6">
        <v>2.1595</v>
      </c>
      <c r="AG13" s="6">
        <v>3.0172500000000002</v>
      </c>
      <c r="AH13" s="6">
        <v>3.5052499999999998</v>
      </c>
      <c r="AK13" s="33"/>
      <c r="AL13" s="8" t="s">
        <v>27</v>
      </c>
      <c r="AM13" s="9">
        <f t="shared" si="0"/>
        <v>3.0710000000000002</v>
      </c>
      <c r="AN13" s="9">
        <f t="shared" si="1"/>
        <v>1.1579318923155091</v>
      </c>
      <c r="AO13" s="9">
        <f t="shared" si="2"/>
        <v>1.0020995178827228</v>
      </c>
      <c r="AP13" s="9"/>
      <c r="AQ13" s="9"/>
      <c r="AR13" s="9"/>
      <c r="AS13" s="9"/>
      <c r="AT13" s="9"/>
      <c r="AU13" s="9"/>
      <c r="AX13" s="28"/>
      <c r="AY13" s="14" t="s">
        <v>27</v>
      </c>
      <c r="AZ13" s="14" t="s">
        <v>79</v>
      </c>
      <c r="BA13" s="15">
        <v>1</v>
      </c>
      <c r="BB13" s="28" t="s">
        <v>117</v>
      </c>
      <c r="BC13" s="28"/>
      <c r="BD13" s="14" t="s">
        <v>117</v>
      </c>
      <c r="BE13" s="28" t="s">
        <v>117</v>
      </c>
      <c r="BF13" s="28"/>
      <c r="BG13" s="14" t="s">
        <v>117</v>
      </c>
    </row>
    <row r="14" spans="1:59" ht="16" x14ac:dyDescent="0.2">
      <c r="A14" s="22" t="s">
        <v>28</v>
      </c>
      <c r="B14" s="3" t="s">
        <v>29</v>
      </c>
      <c r="C14" s="4">
        <v>0.61399999999999999</v>
      </c>
      <c r="D14" s="4"/>
      <c r="E14" s="4"/>
      <c r="F14" s="4"/>
      <c r="G14" s="4">
        <v>0.33524999999999999</v>
      </c>
      <c r="H14" s="4"/>
      <c r="I14" s="4"/>
      <c r="J14" s="4"/>
      <c r="K14" s="4">
        <v>0.23574999999999999</v>
      </c>
      <c r="L14" s="4">
        <v>0.28199999999999997</v>
      </c>
      <c r="M14" s="4">
        <v>0.41624999999999995</v>
      </c>
      <c r="N14" s="4">
        <v>0.26924999999999999</v>
      </c>
      <c r="O14" s="4">
        <v>0.32774999999999999</v>
      </c>
      <c r="P14" s="4">
        <v>0.18525</v>
      </c>
      <c r="Q14" s="4"/>
      <c r="R14" s="4"/>
      <c r="S14" s="4"/>
      <c r="T14" s="4"/>
      <c r="U14" s="6"/>
      <c r="V14" s="6"/>
      <c r="W14" s="7">
        <v>0.27400000000000002</v>
      </c>
      <c r="X14" s="6"/>
      <c r="Y14" s="6"/>
      <c r="Z14" s="6">
        <v>0.2215</v>
      </c>
      <c r="AA14" s="6"/>
      <c r="AB14" s="6"/>
      <c r="AC14" s="6"/>
      <c r="AD14" s="6">
        <v>0.29175000000000001</v>
      </c>
      <c r="AE14" s="6">
        <v>0.23700000000000002</v>
      </c>
      <c r="AF14" s="6"/>
      <c r="AG14" s="6"/>
      <c r="AH14" s="6"/>
      <c r="AK14" s="8"/>
      <c r="AL14" s="8" t="s">
        <v>123</v>
      </c>
      <c r="AM14" s="9">
        <f>SUM(AM4:AM13)</f>
        <v>90.361358061854474</v>
      </c>
      <c r="AN14" s="9">
        <f>_xlfn.STDEV.S(C4:AH13)</f>
        <v>17.118777443478429</v>
      </c>
      <c r="AO14" s="9">
        <f>SUM(AO4:AO13)</f>
        <v>29.485859117229705</v>
      </c>
      <c r="AP14" s="9">
        <f>SUM(AP4:AP13)</f>
        <v>8.382585416666668</v>
      </c>
      <c r="AQ14" s="9">
        <f>_xlfn.STDEV.S(C33:AH38)</f>
        <v>1.8333159585075725</v>
      </c>
      <c r="AR14" s="9">
        <f>SUM(AR4:AR13)</f>
        <v>33.557733974000946</v>
      </c>
      <c r="AS14" s="9">
        <f>SUM(AS4:AS13)</f>
        <v>5.2266672547043012</v>
      </c>
      <c r="AT14" s="9">
        <f>_xlfn.STDEV.S(C48:AH51)</f>
        <v>1.4146433019066014</v>
      </c>
      <c r="AU14" s="9">
        <f>SUM(AU4:AU13)</f>
        <v>27.338333396977561</v>
      </c>
      <c r="AX14" s="30" t="s">
        <v>123</v>
      </c>
      <c r="AY14" s="30"/>
      <c r="AZ14" s="13" t="s">
        <v>80</v>
      </c>
      <c r="BA14" s="13">
        <v>29.49</v>
      </c>
      <c r="BB14" s="30" t="s">
        <v>110</v>
      </c>
      <c r="BC14" s="30"/>
      <c r="BD14" s="13">
        <v>33.56</v>
      </c>
      <c r="BE14" s="30" t="s">
        <v>81</v>
      </c>
      <c r="BF14" s="30"/>
      <c r="BG14" s="13">
        <v>27.34</v>
      </c>
    </row>
    <row r="15" spans="1:59" ht="16" x14ac:dyDescent="0.2">
      <c r="A15" s="22"/>
      <c r="B15" s="3" t="s">
        <v>30</v>
      </c>
      <c r="C15" s="4">
        <v>8.3352500000000003</v>
      </c>
      <c r="D15" s="4">
        <v>14.469250000000001</v>
      </c>
      <c r="E15" s="4">
        <v>15.37175</v>
      </c>
      <c r="F15" s="4">
        <v>8.0697500000000009</v>
      </c>
      <c r="G15" s="4">
        <v>18.113</v>
      </c>
      <c r="H15" s="4">
        <v>10.469749999999998</v>
      </c>
      <c r="I15" s="4">
        <v>13.814500000000001</v>
      </c>
      <c r="J15" s="4">
        <v>15.63125</v>
      </c>
      <c r="K15" s="4">
        <v>13.858750000000001</v>
      </c>
      <c r="L15" s="4">
        <v>16.013750000000002</v>
      </c>
      <c r="M15" s="4">
        <v>22.077750000000005</v>
      </c>
      <c r="N15" s="4">
        <v>16.664249999999996</v>
      </c>
      <c r="O15" s="4">
        <v>22.399000000000001</v>
      </c>
      <c r="P15" s="4">
        <v>16.4025</v>
      </c>
      <c r="Q15" s="4">
        <v>7.8474999999999984</v>
      </c>
      <c r="R15" s="4">
        <v>6.6780000000000008</v>
      </c>
      <c r="S15" s="4">
        <v>10.6875</v>
      </c>
      <c r="T15" s="4"/>
      <c r="U15" s="6">
        <v>14.108000000000001</v>
      </c>
      <c r="V15" s="6">
        <v>10.582750000000003</v>
      </c>
      <c r="W15" s="7">
        <v>17.992999999999999</v>
      </c>
      <c r="X15" s="6">
        <v>10.40775</v>
      </c>
      <c r="Y15" s="6">
        <v>14.166499999999997</v>
      </c>
      <c r="Z15" s="6">
        <v>17.0595</v>
      </c>
      <c r="AA15" s="6">
        <v>9.9162499999999998</v>
      </c>
      <c r="AB15" s="6">
        <v>8.0542499999999979</v>
      </c>
      <c r="AC15" s="6">
        <v>7.3102499999999981</v>
      </c>
      <c r="AD15" s="6">
        <v>20.794499999999999</v>
      </c>
      <c r="AE15" s="6">
        <v>13.176999999999996</v>
      </c>
      <c r="AF15" s="6">
        <v>10.329750000000001</v>
      </c>
      <c r="AG15" s="6">
        <v>10.0235</v>
      </c>
      <c r="AH15" s="6">
        <v>14.486500000000001</v>
      </c>
      <c r="AK15" s="33" t="s">
        <v>28</v>
      </c>
      <c r="AL15" s="8" t="s">
        <v>29</v>
      </c>
      <c r="AM15" s="9">
        <f t="shared" ref="AM15:AM21" si="5">AVERAGE(C14:AH14)</f>
        <v>0.30747916666666664</v>
      </c>
      <c r="AN15" s="9">
        <f t="shared" ref="AN15:AN21" si="6">_xlfn.STDEV.S(C14:AH14)</f>
        <v>0.11397445179898337</v>
      </c>
      <c r="AO15" s="9">
        <f t="shared" si="2"/>
        <v>0.10033367784944576</v>
      </c>
      <c r="AP15" s="9"/>
      <c r="AQ15" s="9"/>
      <c r="AR15" s="9"/>
      <c r="AS15" s="9"/>
      <c r="AT15" s="9"/>
      <c r="AU15" s="9"/>
      <c r="AX15" s="27" t="s">
        <v>28</v>
      </c>
      <c r="AY15" s="12" t="s">
        <v>29</v>
      </c>
      <c r="AZ15" s="12" t="s">
        <v>82</v>
      </c>
      <c r="BA15" s="16">
        <v>0.1</v>
      </c>
      <c r="BB15" s="27" t="s">
        <v>117</v>
      </c>
      <c r="BC15" s="27"/>
      <c r="BD15" s="12" t="s">
        <v>117</v>
      </c>
      <c r="BE15" s="27" t="s">
        <v>117</v>
      </c>
      <c r="BF15" s="27"/>
      <c r="BG15" s="12" t="s">
        <v>117</v>
      </c>
    </row>
    <row r="16" spans="1:59" ht="16" x14ac:dyDescent="0.2">
      <c r="A16" s="22"/>
      <c r="B16" s="3" t="s">
        <v>31</v>
      </c>
      <c r="C16" s="4">
        <v>1.27325</v>
      </c>
      <c r="D16" s="4">
        <v>1.3287500000000001</v>
      </c>
      <c r="E16" s="4">
        <v>2.2885</v>
      </c>
      <c r="F16" s="4">
        <v>1.103</v>
      </c>
      <c r="G16" s="4">
        <v>1.5252499999999998</v>
      </c>
      <c r="H16" s="4">
        <v>1.88625</v>
      </c>
      <c r="I16" s="4">
        <v>1.7310000000000003</v>
      </c>
      <c r="J16" s="4">
        <v>6.4647500000000013</v>
      </c>
      <c r="K16" s="4">
        <v>2.1939999999999995</v>
      </c>
      <c r="L16" s="4">
        <v>1.6065000000000003</v>
      </c>
      <c r="M16" s="4">
        <v>3.0612499999999998</v>
      </c>
      <c r="N16" s="4">
        <v>2.5692499999999998</v>
      </c>
      <c r="O16" s="4">
        <v>2.9702500000000001</v>
      </c>
      <c r="P16" s="4">
        <v>4.9182499999999996</v>
      </c>
      <c r="Q16" s="4">
        <v>2.8849999999999998</v>
      </c>
      <c r="R16" s="4">
        <v>4.580750000000001</v>
      </c>
      <c r="S16" s="4"/>
      <c r="T16" s="4"/>
      <c r="U16" s="6">
        <v>1.4564999999999999</v>
      </c>
      <c r="V16" s="6">
        <v>4.5175000000000001</v>
      </c>
      <c r="W16" s="7">
        <v>2.35</v>
      </c>
      <c r="X16" s="6">
        <v>1.4497499999999999</v>
      </c>
      <c r="Y16" s="6">
        <v>1.3162499999999999</v>
      </c>
      <c r="Z16" s="6">
        <v>2.1742500000000002</v>
      </c>
      <c r="AA16" s="6">
        <v>4.7957499999999991</v>
      </c>
      <c r="AB16" s="6"/>
      <c r="AC16" s="6"/>
      <c r="AD16" s="6">
        <v>2.6835</v>
      </c>
      <c r="AE16" s="6">
        <v>2.1512500000000006</v>
      </c>
      <c r="AF16" s="6"/>
      <c r="AG16" s="6"/>
      <c r="AH16" s="6">
        <v>7.1792499999999997</v>
      </c>
      <c r="AK16" s="33"/>
      <c r="AL16" s="8" t="s">
        <v>30</v>
      </c>
      <c r="AM16" s="9">
        <f t="shared" si="5"/>
        <v>13.397193548387097</v>
      </c>
      <c r="AN16" s="9">
        <f t="shared" si="6"/>
        <v>4.3528366980193116</v>
      </c>
      <c r="AO16" s="9">
        <f t="shared" si="2"/>
        <v>4.3716448048909902</v>
      </c>
      <c r="AP16" s="9">
        <f>AVERAGE(C39:AH39)</f>
        <v>0.29199999999999998</v>
      </c>
      <c r="AQ16" s="9" t="e">
        <f>_xlfn.STDEV.S(C39:AH39)</f>
        <v>#DIV/0!</v>
      </c>
      <c r="AR16" s="9">
        <f t="shared" ref="AR16:AR19" si="7">(AP16/$AP$35)*100</f>
        <v>1.1689541869654803</v>
      </c>
      <c r="AS16" s="9">
        <f>AVERAGE(C52:AH52)</f>
        <v>3.9117500000000001</v>
      </c>
      <c r="AT16" s="9" t="e">
        <f>_xlfn.STDEV.S(C52:AH52)</f>
        <v>#DIV/0!</v>
      </c>
      <c r="AU16" s="9">
        <f>(AS16/$AS$35)*100</f>
        <v>20.460595720795915</v>
      </c>
      <c r="AX16" s="30"/>
      <c r="AY16" s="13" t="s">
        <v>30</v>
      </c>
      <c r="AZ16" s="13" t="s">
        <v>83</v>
      </c>
      <c r="BA16" s="13">
        <v>4.34</v>
      </c>
      <c r="BB16" s="30" t="s">
        <v>115</v>
      </c>
      <c r="BC16" s="30"/>
      <c r="BD16" s="13">
        <v>1.17</v>
      </c>
      <c r="BE16" s="30" t="s">
        <v>116</v>
      </c>
      <c r="BF16" s="30"/>
      <c r="BG16" s="13">
        <v>20.46</v>
      </c>
    </row>
    <row r="17" spans="1:59" ht="16" x14ac:dyDescent="0.2">
      <c r="A17" s="22"/>
      <c r="B17" s="3" t="s">
        <v>32</v>
      </c>
      <c r="C17" s="4">
        <v>23.322500000000002</v>
      </c>
      <c r="D17" s="4">
        <v>32.859250000000003</v>
      </c>
      <c r="E17" s="4">
        <v>31.539999999999996</v>
      </c>
      <c r="F17" s="4">
        <v>14.638249999999999</v>
      </c>
      <c r="G17" s="4">
        <v>54.173499999999997</v>
      </c>
      <c r="H17" s="4">
        <v>21.163250000000001</v>
      </c>
      <c r="I17" s="4">
        <v>33.543499999999995</v>
      </c>
      <c r="J17" s="4">
        <v>52.205500000000001</v>
      </c>
      <c r="K17" s="4">
        <v>25.080500000000001</v>
      </c>
      <c r="L17" s="4">
        <v>35.457250000000002</v>
      </c>
      <c r="M17" s="4">
        <v>39.443750000000001</v>
      </c>
      <c r="N17" s="4">
        <v>35.149749999999997</v>
      </c>
      <c r="O17" s="4">
        <v>42.593249999999998</v>
      </c>
      <c r="P17" s="4">
        <v>38.568249999999999</v>
      </c>
      <c r="Q17" s="4">
        <v>21.708749999999998</v>
      </c>
      <c r="R17" s="4">
        <v>16.724250000000001</v>
      </c>
      <c r="S17" s="4">
        <v>27.93</v>
      </c>
      <c r="T17" s="4"/>
      <c r="U17" s="6">
        <v>38.411000000000001</v>
      </c>
      <c r="V17" s="6">
        <v>33.784999999999997</v>
      </c>
      <c r="W17" s="7">
        <v>45.601750000000003</v>
      </c>
      <c r="X17" s="6">
        <v>26.90475</v>
      </c>
      <c r="Y17" s="6">
        <v>29.4925</v>
      </c>
      <c r="Z17" s="6">
        <v>53.331000000000003</v>
      </c>
      <c r="AA17" s="6">
        <v>39.461500000000001</v>
      </c>
      <c r="AB17" s="6">
        <v>19.4985</v>
      </c>
      <c r="AC17" s="6">
        <v>25.626750000000005</v>
      </c>
      <c r="AD17" s="6">
        <v>51.838499999999996</v>
      </c>
      <c r="AE17" s="6">
        <v>27.27675</v>
      </c>
      <c r="AF17" s="6"/>
      <c r="AG17" s="6"/>
      <c r="AH17" s="6"/>
      <c r="AK17" s="33"/>
      <c r="AL17" s="8" t="s">
        <v>31</v>
      </c>
      <c r="AM17" s="9">
        <f t="shared" si="5"/>
        <v>2.7869230769230766</v>
      </c>
      <c r="AN17" s="9">
        <f t="shared" si="6"/>
        <v>1.6400232266178902</v>
      </c>
      <c r="AO17" s="9">
        <f t="shared" si="2"/>
        <v>0.90940223762971306</v>
      </c>
      <c r="AP17" s="9"/>
      <c r="AQ17" s="9"/>
      <c r="AR17" s="9"/>
      <c r="AS17" s="9"/>
      <c r="AT17" s="9"/>
      <c r="AU17" s="9"/>
      <c r="AX17" s="30"/>
      <c r="AY17" s="13" t="s">
        <v>31</v>
      </c>
      <c r="AZ17" s="13" t="s">
        <v>84</v>
      </c>
      <c r="BA17" s="13">
        <v>0.91</v>
      </c>
      <c r="BB17" s="30" t="s">
        <v>117</v>
      </c>
      <c r="BC17" s="30"/>
      <c r="BD17" s="13" t="s">
        <v>117</v>
      </c>
      <c r="BE17" s="30" t="s">
        <v>117</v>
      </c>
      <c r="BF17" s="30"/>
      <c r="BG17" s="13" t="s">
        <v>117</v>
      </c>
    </row>
    <row r="18" spans="1:59" ht="16" x14ac:dyDescent="0.2">
      <c r="A18" s="22"/>
      <c r="B18" s="3" t="s">
        <v>33</v>
      </c>
      <c r="C18" s="4">
        <v>8.7424999999999997</v>
      </c>
      <c r="D18" s="4">
        <v>12.1975</v>
      </c>
      <c r="E18" s="4">
        <v>16.27825</v>
      </c>
      <c r="F18" s="4">
        <v>6.4765000000000006</v>
      </c>
      <c r="G18" s="4">
        <v>22.142499999999998</v>
      </c>
      <c r="H18" s="4">
        <v>10.90025</v>
      </c>
      <c r="I18" s="4">
        <v>20.383749999999996</v>
      </c>
      <c r="J18" s="4">
        <v>19.156749999999999</v>
      </c>
      <c r="K18" s="4">
        <v>11.830249999999999</v>
      </c>
      <c r="L18" s="4">
        <v>17.538499999999999</v>
      </c>
      <c r="M18" s="4">
        <v>18.857749999999999</v>
      </c>
      <c r="N18" s="4">
        <v>16.948</v>
      </c>
      <c r="O18" s="4">
        <v>20.847000000000001</v>
      </c>
      <c r="P18" s="4">
        <v>16.469499999999996</v>
      </c>
      <c r="Q18" s="4">
        <v>11.812250000000001</v>
      </c>
      <c r="R18" s="4">
        <v>8.016</v>
      </c>
      <c r="S18" s="4">
        <v>12.766999999999998</v>
      </c>
      <c r="T18" s="4"/>
      <c r="U18" s="6">
        <v>12.702</v>
      </c>
      <c r="V18" s="6">
        <v>11.387749999999999</v>
      </c>
      <c r="W18" s="7">
        <v>25.714749999999995</v>
      </c>
      <c r="X18" s="6">
        <v>15.718000000000002</v>
      </c>
      <c r="Y18" s="6">
        <v>18.541499999999999</v>
      </c>
      <c r="Z18" s="6">
        <v>20.655750000000001</v>
      </c>
      <c r="AA18" s="6">
        <v>13.2575</v>
      </c>
      <c r="AB18" s="6">
        <v>7.51525</v>
      </c>
      <c r="AC18" s="6">
        <v>8.5250000000000004</v>
      </c>
      <c r="AD18" s="6">
        <v>21.131249999999998</v>
      </c>
      <c r="AE18" s="6">
        <v>12.44825</v>
      </c>
      <c r="AF18" s="6"/>
      <c r="AG18" s="6"/>
      <c r="AH18" s="6">
        <v>14.68375</v>
      </c>
      <c r="AK18" s="33"/>
      <c r="AL18" s="8" t="s">
        <v>32</v>
      </c>
      <c r="AM18" s="9">
        <f t="shared" si="5"/>
        <v>33.476053571428572</v>
      </c>
      <c r="AN18" s="9">
        <f t="shared" si="6"/>
        <v>11.151770372729962</v>
      </c>
      <c r="AO18" s="9">
        <f t="shared" si="2"/>
        <v>10.923587477871951</v>
      </c>
      <c r="AP18" s="9">
        <f>AVERAGE(C40:AH40)</f>
        <v>0.6519166666666667</v>
      </c>
      <c r="AQ18" s="9">
        <f>_xlfn.STDEV.S(C40:AH40)</f>
        <v>0.24232095212874077</v>
      </c>
      <c r="AR18" s="9">
        <f t="shared" si="7"/>
        <v>2.609796976207464</v>
      </c>
      <c r="AS18" s="9">
        <f>AVERAGE(C53:AH53)</f>
        <v>0.46524999999999994</v>
      </c>
      <c r="AT18" s="9">
        <f>_xlfn.STDEV.S(C53:AH53)</f>
        <v>0.19680743549639254</v>
      </c>
      <c r="AU18" s="9">
        <f t="shared" ref="AU18:AU19" si="8">(AS18/$AS$35)*100</f>
        <v>2.4335124072602543</v>
      </c>
      <c r="AX18" s="30"/>
      <c r="AY18" s="13" t="s">
        <v>32</v>
      </c>
      <c r="AZ18" s="13" t="s">
        <v>85</v>
      </c>
      <c r="BA18" s="13">
        <v>10.84</v>
      </c>
      <c r="BB18" s="30" t="s">
        <v>111</v>
      </c>
      <c r="BC18" s="30"/>
      <c r="BD18" s="13">
        <v>2.61</v>
      </c>
      <c r="BE18" s="30" t="s">
        <v>86</v>
      </c>
      <c r="BF18" s="30"/>
      <c r="BG18" s="13">
        <v>2.4300000000000002</v>
      </c>
    </row>
    <row r="19" spans="1:59" ht="16" x14ac:dyDescent="0.2">
      <c r="A19" s="22"/>
      <c r="B19" s="3" t="s">
        <v>34</v>
      </c>
      <c r="C19" s="4">
        <v>2.177</v>
      </c>
      <c r="D19" s="4"/>
      <c r="E19" s="4"/>
      <c r="F19" s="4">
        <v>1.49675</v>
      </c>
      <c r="G19" s="4">
        <v>9.5157499999999988</v>
      </c>
      <c r="H19" s="4">
        <v>2.5325000000000002</v>
      </c>
      <c r="I19" s="4">
        <v>5.5477499999999997</v>
      </c>
      <c r="J19" s="4">
        <v>4.0732500000000007</v>
      </c>
      <c r="K19" s="4">
        <v>1.018</v>
      </c>
      <c r="L19" s="4"/>
      <c r="M19" s="4">
        <v>2.6754999999999995</v>
      </c>
      <c r="N19" s="4"/>
      <c r="O19" s="4">
        <v>6.4092499999999992</v>
      </c>
      <c r="P19" s="4">
        <v>4.2937500000000002</v>
      </c>
      <c r="Q19" s="4">
        <v>2.1572499999999999</v>
      </c>
      <c r="R19" s="4">
        <v>2.7422499999999999</v>
      </c>
      <c r="S19" s="4">
        <v>3.6857500000000001</v>
      </c>
      <c r="T19" s="4">
        <v>1.9682500000000003</v>
      </c>
      <c r="U19" s="6">
        <v>2.8704999999999998</v>
      </c>
      <c r="V19" s="6"/>
      <c r="W19" s="7">
        <v>7.9887499999999987</v>
      </c>
      <c r="X19" s="6">
        <v>2.669</v>
      </c>
      <c r="Y19" s="6">
        <v>2.8817499999999998</v>
      </c>
      <c r="Z19" s="6">
        <v>5.411249999999999</v>
      </c>
      <c r="AA19" s="6">
        <v>6.3710000000000004</v>
      </c>
      <c r="AB19" s="6">
        <v>2.6395</v>
      </c>
      <c r="AC19" s="6">
        <v>3.2017499999999997</v>
      </c>
      <c r="AD19" s="6">
        <v>2.80925</v>
      </c>
      <c r="AE19" s="6">
        <v>4.4634999999999998</v>
      </c>
      <c r="AF19" s="6">
        <v>3.3432499999999998</v>
      </c>
      <c r="AG19" s="6"/>
      <c r="AH19" s="6"/>
      <c r="AK19" s="33"/>
      <c r="AL19" s="8" t="s">
        <v>33</v>
      </c>
      <c r="AM19" s="9">
        <f t="shared" si="5"/>
        <v>14.953275862068963</v>
      </c>
      <c r="AN19" s="9">
        <f t="shared" si="6"/>
        <v>4.9789711238801511</v>
      </c>
      <c r="AO19" s="9">
        <f t="shared" si="2"/>
        <v>4.8794107887159432</v>
      </c>
      <c r="AP19" s="9">
        <f>AVERAGE(C41:AH41)</f>
        <v>3.0875937499999999</v>
      </c>
      <c r="AQ19" s="9">
        <f>_xlfn.STDEV.S(C41:AH41)</f>
        <v>0.71860394939681871</v>
      </c>
      <c r="AR19" s="9">
        <f t="shared" si="7"/>
        <v>12.360464526407359</v>
      </c>
      <c r="AS19" s="9">
        <f>AVERAGE(C54:AH54)</f>
        <v>1.0858189655172414</v>
      </c>
      <c r="AT19" s="9">
        <f>_xlfn.STDEV.S(C54:AH54)</f>
        <v>0.17417763275593875</v>
      </c>
      <c r="AU19" s="9">
        <f t="shared" si="8"/>
        <v>5.6794281023636781</v>
      </c>
      <c r="AX19" s="30"/>
      <c r="AY19" s="13" t="s">
        <v>33</v>
      </c>
      <c r="AZ19" s="13" t="s">
        <v>87</v>
      </c>
      <c r="BA19" s="13">
        <v>4.88</v>
      </c>
      <c r="BB19" s="30" t="s">
        <v>112</v>
      </c>
      <c r="BC19" s="30"/>
      <c r="BD19" s="13">
        <v>12.36</v>
      </c>
      <c r="BE19" s="30" t="s">
        <v>88</v>
      </c>
      <c r="BF19" s="30"/>
      <c r="BG19" s="13">
        <v>5.68</v>
      </c>
    </row>
    <row r="20" spans="1:59" ht="16" x14ac:dyDescent="0.2">
      <c r="A20" s="22"/>
      <c r="B20" s="3" t="s">
        <v>35</v>
      </c>
      <c r="C20" s="4">
        <v>1.19025</v>
      </c>
      <c r="D20" s="4">
        <v>1.93675</v>
      </c>
      <c r="E20" s="4">
        <v>2.9220000000000002</v>
      </c>
      <c r="F20" s="4">
        <v>1.28525</v>
      </c>
      <c r="G20" s="4">
        <v>2.9832499999999995</v>
      </c>
      <c r="H20" s="4">
        <v>1.4392499999999999</v>
      </c>
      <c r="I20" s="4">
        <v>2.5244999999999997</v>
      </c>
      <c r="J20" s="4">
        <v>3.2879999999999994</v>
      </c>
      <c r="K20" s="4">
        <v>1.4992499999999997</v>
      </c>
      <c r="L20" s="4">
        <v>2.7882500000000001</v>
      </c>
      <c r="M20" s="4">
        <v>3.1752500000000001</v>
      </c>
      <c r="N20" s="4">
        <v>2.8005</v>
      </c>
      <c r="O20" s="4">
        <v>3.1117499999999998</v>
      </c>
      <c r="P20" s="4">
        <v>2.3522500000000002</v>
      </c>
      <c r="Q20" s="4"/>
      <c r="R20" s="4">
        <v>1.8887499999999997</v>
      </c>
      <c r="S20" s="4">
        <v>2.1492499999999999</v>
      </c>
      <c r="T20" s="4">
        <v>3.0305</v>
      </c>
      <c r="U20" s="6">
        <v>2.7385000000000002</v>
      </c>
      <c r="V20" s="6">
        <v>1.9384999999999999</v>
      </c>
      <c r="W20" s="6">
        <v>3.6692499999999995</v>
      </c>
      <c r="X20" s="6">
        <v>1.9149999999999996</v>
      </c>
      <c r="Y20" s="6">
        <v>3.1480000000000001</v>
      </c>
      <c r="Z20" s="6">
        <v>2.8517499999999996</v>
      </c>
      <c r="AA20" s="6">
        <v>3.2682500000000001</v>
      </c>
      <c r="AB20" s="6">
        <v>1.4810000000000001</v>
      </c>
      <c r="AC20" s="6">
        <v>2.1552500000000001</v>
      </c>
      <c r="AD20" s="6">
        <v>3.1262500000000006</v>
      </c>
      <c r="AE20" s="6">
        <v>1.87825</v>
      </c>
      <c r="AF20" s="6">
        <v>2.36375</v>
      </c>
      <c r="AG20" s="6">
        <v>1.9617499999999999</v>
      </c>
      <c r="AH20" s="6"/>
      <c r="AK20" s="33"/>
      <c r="AL20" s="8" t="s">
        <v>34</v>
      </c>
      <c r="AM20" s="9">
        <f t="shared" si="5"/>
        <v>3.7976999999999994</v>
      </c>
      <c r="AN20" s="9">
        <f>_xlfn.STDEV.S(C19:AH19)</f>
        <v>2.0581103792880833</v>
      </c>
      <c r="AO20" s="9">
        <f t="shared" si="2"/>
        <v>1.2392293516975625</v>
      </c>
      <c r="AP20" s="9"/>
      <c r="AQ20" s="9"/>
      <c r="AR20" s="9"/>
      <c r="AS20" s="9"/>
      <c r="AT20" s="9"/>
      <c r="AU20" s="9"/>
      <c r="AX20" s="30"/>
      <c r="AY20" s="13" t="s">
        <v>34</v>
      </c>
      <c r="AZ20" s="13" t="s">
        <v>89</v>
      </c>
      <c r="BA20" s="13">
        <v>1.24</v>
      </c>
      <c r="BB20" s="30" t="s">
        <v>117</v>
      </c>
      <c r="BC20" s="30"/>
      <c r="BD20" s="13" t="s">
        <v>117</v>
      </c>
      <c r="BE20" s="30" t="s">
        <v>117</v>
      </c>
      <c r="BF20" s="30"/>
      <c r="BG20" s="13" t="s">
        <v>117</v>
      </c>
    </row>
    <row r="21" spans="1:59" ht="16" x14ac:dyDescent="0.2">
      <c r="A21" s="24" t="s">
        <v>36</v>
      </c>
      <c r="B21" s="3" t="s">
        <v>37</v>
      </c>
      <c r="C21" s="4">
        <v>1.6907499999999998</v>
      </c>
      <c r="D21" s="4">
        <v>3.0867499999999999</v>
      </c>
      <c r="E21" s="4">
        <v>1.75675</v>
      </c>
      <c r="F21" s="4">
        <v>1.7302500000000001</v>
      </c>
      <c r="G21" s="4">
        <v>2.9555000000000002</v>
      </c>
      <c r="H21" s="4">
        <v>1.6715</v>
      </c>
      <c r="I21" s="4">
        <v>3.2440000000000002</v>
      </c>
      <c r="J21" s="4">
        <v>3.9692500000000006</v>
      </c>
      <c r="K21" s="4">
        <v>2.7862499999999999</v>
      </c>
      <c r="L21" s="4">
        <v>2.4924999999999997</v>
      </c>
      <c r="M21" s="4">
        <v>4.1822499999999998</v>
      </c>
      <c r="N21" s="4">
        <v>3.3965000000000001</v>
      </c>
      <c r="O21" s="4">
        <v>3.4017499999999998</v>
      </c>
      <c r="P21" s="4">
        <v>3.089</v>
      </c>
      <c r="Q21" s="4">
        <v>1.4259999999999999</v>
      </c>
      <c r="R21" s="4">
        <v>1.1464999999999999</v>
      </c>
      <c r="S21" s="4">
        <v>2.1955</v>
      </c>
      <c r="T21" s="4">
        <v>3.0022500000000001</v>
      </c>
      <c r="U21" s="6">
        <v>3.8947500000000002</v>
      </c>
      <c r="V21" s="6">
        <v>2.1884999999999999</v>
      </c>
      <c r="W21" s="6">
        <v>3.4762499999999994</v>
      </c>
      <c r="X21" s="6">
        <v>2.0105</v>
      </c>
      <c r="Y21" s="6">
        <v>2.0567500000000001</v>
      </c>
      <c r="Z21" s="6">
        <v>2.9447499999999995</v>
      </c>
      <c r="AA21" s="6">
        <v>2.2062499999999998</v>
      </c>
      <c r="AB21" s="6">
        <v>1.7795000000000001</v>
      </c>
      <c r="AC21" s="6">
        <v>1.6820000000000002</v>
      </c>
      <c r="AD21" s="6">
        <v>3.7487499999999998</v>
      </c>
      <c r="AE21" s="6">
        <v>2.8297500000000002</v>
      </c>
      <c r="AF21" s="6">
        <v>2.7762500000000001</v>
      </c>
      <c r="AG21" s="6">
        <v>1.548</v>
      </c>
      <c r="AH21" s="6">
        <v>3.32125</v>
      </c>
      <c r="AK21" s="33"/>
      <c r="AL21" s="8" t="s">
        <v>35</v>
      </c>
      <c r="AM21" s="9">
        <f t="shared" si="5"/>
        <v>2.4286833333333329</v>
      </c>
      <c r="AN21" s="9">
        <f t="shared" si="6"/>
        <v>0.6892952545814518</v>
      </c>
      <c r="AO21" s="9">
        <f t="shared" si="2"/>
        <v>0.79250485100069579</v>
      </c>
      <c r="AP21" s="9"/>
      <c r="AQ21" s="9"/>
      <c r="AR21" s="9"/>
      <c r="AS21" s="9"/>
      <c r="AT21" s="9"/>
      <c r="AU21" s="9"/>
      <c r="AX21" s="28"/>
      <c r="AY21" s="14" t="s">
        <v>35</v>
      </c>
      <c r="AZ21" s="14" t="s">
        <v>90</v>
      </c>
      <c r="BA21" s="14">
        <v>0.79</v>
      </c>
      <c r="BB21" s="28" t="s">
        <v>117</v>
      </c>
      <c r="BC21" s="28"/>
      <c r="BD21" s="14" t="s">
        <v>117</v>
      </c>
      <c r="BE21" s="28" t="s">
        <v>117</v>
      </c>
      <c r="BF21" s="28"/>
      <c r="BG21" s="14" t="s">
        <v>117</v>
      </c>
    </row>
    <row r="22" spans="1:59" ht="16" x14ac:dyDescent="0.2">
      <c r="A22" s="24"/>
      <c r="B22" s="3" t="s">
        <v>38</v>
      </c>
      <c r="C22" s="4">
        <v>0.60050000000000003</v>
      </c>
      <c r="D22" s="4"/>
      <c r="E22" s="4">
        <v>1.538</v>
      </c>
      <c r="F22" s="4">
        <v>0.63624999999999998</v>
      </c>
      <c r="G22" s="4">
        <v>0.96225000000000005</v>
      </c>
      <c r="H22" s="4">
        <v>0.93825000000000003</v>
      </c>
      <c r="I22" s="4">
        <v>1.1025</v>
      </c>
      <c r="J22" s="4">
        <v>1.1020000000000001</v>
      </c>
      <c r="K22" s="4">
        <v>1.175</v>
      </c>
      <c r="L22" s="4">
        <v>1.008</v>
      </c>
      <c r="M22" s="4">
        <v>1.4937499999999999</v>
      </c>
      <c r="N22" s="4">
        <v>1.12425</v>
      </c>
      <c r="O22" s="4">
        <v>1.9732499999999997</v>
      </c>
      <c r="P22" s="4">
        <v>0.92849999999999999</v>
      </c>
      <c r="Q22" s="4">
        <v>0.59199999999999997</v>
      </c>
      <c r="R22" s="4"/>
      <c r="S22" s="4">
        <v>0.69799999999999995</v>
      </c>
      <c r="T22" s="4">
        <v>0.84025000000000005</v>
      </c>
      <c r="U22" s="6"/>
      <c r="V22" s="6">
        <v>0.81274999999999986</v>
      </c>
      <c r="W22" s="6">
        <v>1.2430000000000001</v>
      </c>
      <c r="X22" s="6">
        <v>0.89499999999999991</v>
      </c>
      <c r="Y22" s="6">
        <v>1.49675</v>
      </c>
      <c r="Z22" s="6">
        <v>1.5102500000000001</v>
      </c>
      <c r="AA22" s="6">
        <v>0.58699999999999997</v>
      </c>
      <c r="AB22" s="6">
        <v>0.55474999999999997</v>
      </c>
      <c r="AC22" s="6"/>
      <c r="AD22" s="6">
        <v>1.373</v>
      </c>
      <c r="AE22" s="6">
        <v>0.73675000000000002</v>
      </c>
      <c r="AF22" s="6">
        <v>0.50175000000000003</v>
      </c>
      <c r="AG22" s="6">
        <v>0.59850000000000003</v>
      </c>
      <c r="AH22" s="6">
        <v>1.0442499999999999</v>
      </c>
      <c r="AK22" s="33"/>
      <c r="AL22" s="8" t="s">
        <v>62</v>
      </c>
      <c r="AM22" s="9">
        <f>SUM(AM15:AM21)</f>
        <v>71.147308558807723</v>
      </c>
      <c r="AN22" s="9">
        <f>_xlfn.STDEV.S(C14:AH20)</f>
        <v>12.064058561481941</v>
      </c>
      <c r="AO22" s="9">
        <f>SUM(AO15:AO21)</f>
        <v>23.216113189656305</v>
      </c>
      <c r="AP22" s="9">
        <f>SUM(AP15:AP21)</f>
        <v>4.0315104166666664</v>
      </c>
      <c r="AQ22" s="9">
        <f>_xlfn.STDEV.S(C39:AH41)</f>
        <v>1.3478404180060459</v>
      </c>
      <c r="AR22" s="9">
        <f>SUM(AR15:AR21)</f>
        <v>16.139215689580304</v>
      </c>
      <c r="AS22" s="9">
        <f>SUM(AS15:AS21)</f>
        <v>5.4628189655172417</v>
      </c>
      <c r="AT22" s="9">
        <f>_xlfn.STDEV.S(C52:AH54)</f>
        <v>0.56376696550905425</v>
      </c>
      <c r="AU22" s="9">
        <f>SUM(AU15:AU21)</f>
        <v>28.573536230419847</v>
      </c>
      <c r="AX22" s="30" t="s">
        <v>62</v>
      </c>
      <c r="AY22" s="30"/>
      <c r="AZ22" s="13" t="s">
        <v>91</v>
      </c>
      <c r="BA22" s="13">
        <v>23.22</v>
      </c>
      <c r="BB22" s="30" t="s">
        <v>113</v>
      </c>
      <c r="BC22" s="30"/>
      <c r="BD22" s="13">
        <v>16.14</v>
      </c>
      <c r="BE22" s="30" t="s">
        <v>92</v>
      </c>
      <c r="BF22" s="30"/>
      <c r="BG22" s="13">
        <v>28.57</v>
      </c>
    </row>
    <row r="23" spans="1:59" ht="16" x14ac:dyDescent="0.2">
      <c r="A23" s="24"/>
      <c r="B23" s="3" t="s">
        <v>39</v>
      </c>
      <c r="C23" s="4">
        <v>1.8740000000000003</v>
      </c>
      <c r="D23" s="4">
        <v>3.40625</v>
      </c>
      <c r="E23" s="4">
        <v>4.0742500000000001</v>
      </c>
      <c r="F23" s="4">
        <v>2.1435</v>
      </c>
      <c r="G23" s="4">
        <v>2.3872499999999999</v>
      </c>
      <c r="H23" s="4">
        <v>1.6949999999999998</v>
      </c>
      <c r="I23" s="4">
        <v>4.0607499999999996</v>
      </c>
      <c r="J23" s="4">
        <v>4.68675</v>
      </c>
      <c r="K23" s="4">
        <v>2.6652499999999999</v>
      </c>
      <c r="L23" s="4">
        <v>2.1002499999999995</v>
      </c>
      <c r="M23" s="4">
        <v>4.1580000000000004</v>
      </c>
      <c r="N23" s="4">
        <v>3.1222500000000002</v>
      </c>
      <c r="O23" s="4">
        <v>4.1282500000000004</v>
      </c>
      <c r="P23" s="4">
        <v>2.8979999999999997</v>
      </c>
      <c r="Q23" s="4">
        <v>2.2702499999999999</v>
      </c>
      <c r="R23" s="4">
        <v>1.8990000000000002</v>
      </c>
      <c r="S23" s="4">
        <v>3.4954999999999998</v>
      </c>
      <c r="T23" s="4">
        <v>3.7179999999999995</v>
      </c>
      <c r="U23" s="6">
        <v>3.6817500000000001</v>
      </c>
      <c r="V23" s="6">
        <v>1.9704999999999997</v>
      </c>
      <c r="W23" s="6">
        <v>3.4657499999999999</v>
      </c>
      <c r="X23" s="6">
        <v>2.1677499999999998</v>
      </c>
      <c r="Y23" s="6">
        <v>3.1684999999999999</v>
      </c>
      <c r="Z23" s="6">
        <v>4.4080000000000004</v>
      </c>
      <c r="AA23" s="6">
        <v>2.0097499999999999</v>
      </c>
      <c r="AB23" s="6">
        <v>1.9925000000000002</v>
      </c>
      <c r="AC23" s="6">
        <v>2.3127499999999999</v>
      </c>
      <c r="AD23" s="6">
        <v>3.323999999999999</v>
      </c>
      <c r="AE23" s="6">
        <v>2.5939999999999999</v>
      </c>
      <c r="AF23" s="6">
        <v>2.7242500000000001</v>
      </c>
      <c r="AG23" s="6">
        <v>2.2222499999999994</v>
      </c>
      <c r="AH23" s="6">
        <v>4.1369999999999996</v>
      </c>
      <c r="AK23" s="31" t="s">
        <v>36</v>
      </c>
      <c r="AL23" s="8" t="s">
        <v>37</v>
      </c>
      <c r="AM23" s="9">
        <f>AVERAGE(C21:AH21)</f>
        <v>2.6152031250000007</v>
      </c>
      <c r="AN23" s="9">
        <f>_xlfn.STDEV.S(C21:AH21)</f>
        <v>0.83782950291670755</v>
      </c>
      <c r="AO23" s="9">
        <f t="shared" si="2"/>
        <v>0.85336821580198308</v>
      </c>
      <c r="AP23" s="9"/>
      <c r="AQ23" s="9"/>
      <c r="AR23" s="9"/>
      <c r="AS23" s="9"/>
      <c r="AT23" s="9"/>
      <c r="AU23" s="9"/>
      <c r="AX23" s="27" t="s">
        <v>36</v>
      </c>
      <c r="AY23" s="12" t="s">
        <v>37</v>
      </c>
      <c r="AZ23" s="12" t="s">
        <v>93</v>
      </c>
      <c r="BA23" s="12">
        <v>0.85</v>
      </c>
      <c r="BB23" s="27" t="s">
        <v>117</v>
      </c>
      <c r="BC23" s="27"/>
      <c r="BD23" s="12" t="s">
        <v>117</v>
      </c>
      <c r="BE23" s="27" t="s">
        <v>117</v>
      </c>
      <c r="BF23" s="27"/>
      <c r="BG23" s="12" t="s">
        <v>117</v>
      </c>
    </row>
    <row r="24" spans="1:59" ht="16" x14ac:dyDescent="0.2">
      <c r="A24" s="24"/>
      <c r="B24" s="3" t="s">
        <v>40</v>
      </c>
      <c r="C24" s="4"/>
      <c r="D24" s="4"/>
      <c r="E24" s="4"/>
      <c r="F24" s="4"/>
      <c r="G24" s="4"/>
      <c r="H24" s="4"/>
      <c r="I24" s="4">
        <v>0.92874999999999985</v>
      </c>
      <c r="J24" s="4">
        <v>1.1582499999999998</v>
      </c>
      <c r="K24" s="4">
        <v>0.78674999999999995</v>
      </c>
      <c r="L24" s="4"/>
      <c r="M24" s="4">
        <v>0.90600000000000003</v>
      </c>
      <c r="N24" s="4">
        <v>0.68300000000000005</v>
      </c>
      <c r="O24" s="4">
        <v>1.2717499999999999</v>
      </c>
      <c r="P24" s="4"/>
      <c r="Q24" s="4"/>
      <c r="R24" s="4"/>
      <c r="S24" s="4"/>
      <c r="T24" s="4"/>
      <c r="U24" s="6"/>
      <c r="V24" s="6"/>
      <c r="W24" s="6">
        <v>0.77749999999999997</v>
      </c>
      <c r="X24" s="6"/>
      <c r="Y24" s="6">
        <v>0.8909999999999999</v>
      </c>
      <c r="Z24" s="6">
        <v>1.19475</v>
      </c>
      <c r="AA24" s="6"/>
      <c r="AB24" s="6"/>
      <c r="AC24" s="6"/>
      <c r="AD24" s="6">
        <v>0.81425000000000003</v>
      </c>
      <c r="AE24" s="6"/>
      <c r="AF24" s="6"/>
      <c r="AG24" s="6"/>
      <c r="AH24" s="6"/>
      <c r="AK24" s="31"/>
      <c r="AL24" s="8" t="s">
        <v>38</v>
      </c>
      <c r="AM24" s="9">
        <f>AVERAGE(C22:AH22)</f>
        <v>1.0023750000000002</v>
      </c>
      <c r="AN24" s="9">
        <f>_xlfn.STDEV.S(C22:AH22)</f>
        <v>0.37186678406734841</v>
      </c>
      <c r="AO24" s="9">
        <f t="shared" si="2"/>
        <v>0.32708547842321534</v>
      </c>
      <c r="AP24" s="9"/>
      <c r="AQ24" s="9"/>
      <c r="AR24" s="9"/>
      <c r="AS24" s="9"/>
      <c r="AT24" s="9"/>
      <c r="AU24" s="9"/>
      <c r="AX24" s="30"/>
      <c r="AY24" s="13" t="s">
        <v>38</v>
      </c>
      <c r="AZ24" s="13" t="s">
        <v>132</v>
      </c>
      <c r="BA24" s="13">
        <v>0.33</v>
      </c>
      <c r="BB24" s="30" t="s">
        <v>117</v>
      </c>
      <c r="BC24" s="30"/>
      <c r="BD24" s="13" t="s">
        <v>117</v>
      </c>
      <c r="BE24" s="30" t="s">
        <v>117</v>
      </c>
      <c r="BF24" s="30"/>
      <c r="BG24" s="13" t="s">
        <v>117</v>
      </c>
    </row>
    <row r="25" spans="1:59" ht="16" x14ac:dyDescent="0.2">
      <c r="A25" s="24"/>
      <c r="B25" s="3" t="s">
        <v>186</v>
      </c>
      <c r="C25" s="4"/>
      <c r="D25" s="4"/>
      <c r="E25" s="4"/>
      <c r="F25" s="4"/>
      <c r="G25" s="4"/>
      <c r="H25" s="4"/>
      <c r="I25" s="4"/>
      <c r="J25" s="4">
        <v>1.3432500000000001</v>
      </c>
      <c r="K25" s="4"/>
      <c r="L25" s="4"/>
      <c r="M25" s="4">
        <v>0.97450000000000003</v>
      </c>
      <c r="N25" s="4"/>
      <c r="O25" s="4">
        <v>1.0462499999999997</v>
      </c>
      <c r="P25" s="4">
        <v>0.78849999999999998</v>
      </c>
      <c r="Q25" s="4"/>
      <c r="R25" s="4"/>
      <c r="S25" s="4"/>
      <c r="T25" s="4">
        <v>0.83125000000000004</v>
      </c>
      <c r="U25" s="6"/>
      <c r="V25" s="6"/>
      <c r="W25" s="6">
        <v>1.11825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>
        <v>1.0455000000000003</v>
      </c>
      <c r="AK25" s="31"/>
      <c r="AL25" s="8" t="s">
        <v>60</v>
      </c>
      <c r="AM25" s="9">
        <f>AVERAGE(C23:AH23)</f>
        <v>2.9675390624999993</v>
      </c>
      <c r="AN25" s="9">
        <f>_xlfn.STDEV.S(C23:AH23)</f>
        <v>0.89006714160790157</v>
      </c>
      <c r="AO25" s="9">
        <f t="shared" si="2"/>
        <v>0.96833912856704518</v>
      </c>
      <c r="AP25" s="9"/>
      <c r="AQ25" s="9"/>
      <c r="AR25" s="9"/>
      <c r="AS25" s="9"/>
      <c r="AT25" s="9"/>
      <c r="AU25" s="9"/>
      <c r="AX25" s="30"/>
      <c r="AY25" s="13" t="s">
        <v>60</v>
      </c>
      <c r="AZ25" s="13" t="s">
        <v>133</v>
      </c>
      <c r="BA25" s="13">
        <v>0.97</v>
      </c>
      <c r="BB25" s="30" t="s">
        <v>117</v>
      </c>
      <c r="BC25" s="30"/>
      <c r="BD25" s="13" t="s">
        <v>117</v>
      </c>
      <c r="BE25" s="30" t="s">
        <v>117</v>
      </c>
      <c r="BF25" s="30"/>
      <c r="BG25" s="13" t="s">
        <v>117</v>
      </c>
    </row>
    <row r="26" spans="1:59" ht="16" x14ac:dyDescent="0.2">
      <c r="A26" s="24" t="s">
        <v>41</v>
      </c>
      <c r="B26" s="3" t="s">
        <v>42</v>
      </c>
      <c r="C26" s="4">
        <v>2.6054999999999997</v>
      </c>
      <c r="D26" s="4">
        <v>4.7460000000000004</v>
      </c>
      <c r="E26" s="4">
        <v>3.99525</v>
      </c>
      <c r="F26" s="4">
        <v>2.8497499999999998</v>
      </c>
      <c r="G26" s="4">
        <v>2.8922500000000002</v>
      </c>
      <c r="H26" s="4">
        <v>2.5787499999999999</v>
      </c>
      <c r="I26" s="4">
        <v>4.6742499999999998</v>
      </c>
      <c r="J26" s="4">
        <v>5.3612500000000001</v>
      </c>
      <c r="K26" s="4">
        <v>3.5855000000000006</v>
      </c>
      <c r="L26" s="4">
        <v>2.6455000000000002</v>
      </c>
      <c r="M26" s="4">
        <v>5.5112500000000004</v>
      </c>
      <c r="N26" s="4">
        <v>4.5374999999999996</v>
      </c>
      <c r="O26" s="4">
        <v>4.3334999999999999</v>
      </c>
      <c r="P26" s="4">
        <v>3.5720000000000001</v>
      </c>
      <c r="Q26" s="4">
        <v>1.5862499999999997</v>
      </c>
      <c r="R26" s="4">
        <v>1.5135000000000001</v>
      </c>
      <c r="S26" s="4">
        <v>3.0882499999999999</v>
      </c>
      <c r="T26" s="4">
        <v>3.55525</v>
      </c>
      <c r="U26" s="6">
        <v>5.4472500000000004</v>
      </c>
      <c r="V26" s="6">
        <v>2.6357499999999998</v>
      </c>
      <c r="W26" s="6">
        <v>4.1935000000000002</v>
      </c>
      <c r="X26" s="6">
        <v>2.3475000000000001</v>
      </c>
      <c r="Y26" s="6">
        <v>2.9250000000000003</v>
      </c>
      <c r="Z26" s="6">
        <v>4.1597499999999998</v>
      </c>
      <c r="AA26" s="6">
        <v>2.9267500000000002</v>
      </c>
      <c r="AB26" s="6">
        <v>2.5222500000000001</v>
      </c>
      <c r="AC26" s="6">
        <v>3.0707499999999999</v>
      </c>
      <c r="AD26" s="6">
        <v>4.21075</v>
      </c>
      <c r="AE26" s="6">
        <v>3.355249999999999</v>
      </c>
      <c r="AF26" s="6">
        <v>3.6484999999999994</v>
      </c>
      <c r="AG26" s="6">
        <v>1.9824999999999999</v>
      </c>
      <c r="AH26" s="6">
        <v>4.0979999999999999</v>
      </c>
      <c r="AK26" s="31"/>
      <c r="AL26" s="8" t="s">
        <v>40</v>
      </c>
      <c r="AM26" s="9">
        <f>AVERAGE(C24:AH24)</f>
        <v>0.94119999999999993</v>
      </c>
      <c r="AN26" s="9">
        <f>_xlfn.STDEV.S(C24:AH24)</f>
        <v>0.19944693669133012</v>
      </c>
      <c r="AO26" s="9">
        <f t="shared" si="2"/>
        <v>0.30712343413585752</v>
      </c>
      <c r="AP26" s="9"/>
      <c r="AQ26" s="9"/>
      <c r="AR26" s="9"/>
      <c r="AS26" s="9"/>
      <c r="AT26" s="9"/>
      <c r="AU26" s="9"/>
      <c r="AX26" s="30"/>
      <c r="AY26" s="13" t="s">
        <v>40</v>
      </c>
      <c r="AZ26" s="13" t="s">
        <v>134</v>
      </c>
      <c r="BA26" s="13">
        <v>0.31</v>
      </c>
      <c r="BB26" s="30" t="s">
        <v>117</v>
      </c>
      <c r="BC26" s="30"/>
      <c r="BD26" s="13" t="s">
        <v>117</v>
      </c>
      <c r="BE26" s="30" t="s">
        <v>117</v>
      </c>
      <c r="BF26" s="30"/>
      <c r="BG26" s="13" t="s">
        <v>117</v>
      </c>
    </row>
    <row r="27" spans="1:59" ht="16" x14ac:dyDescent="0.2">
      <c r="A27" s="24"/>
      <c r="B27" s="3" t="s">
        <v>43</v>
      </c>
      <c r="C27" s="4">
        <v>1.8132499999999998</v>
      </c>
      <c r="D27" s="4">
        <v>3.7022499999999998</v>
      </c>
      <c r="E27" s="4">
        <v>4.532</v>
      </c>
      <c r="F27" s="4">
        <v>2.2225000000000001</v>
      </c>
      <c r="G27" s="4">
        <v>3.60025</v>
      </c>
      <c r="H27" s="4">
        <v>2.1692499999999999</v>
      </c>
      <c r="I27" s="4">
        <v>4.2897499999999988</v>
      </c>
      <c r="J27" s="4">
        <v>5.299500000000001</v>
      </c>
      <c r="K27" s="4">
        <v>3.4184999999999999</v>
      </c>
      <c r="L27" s="4">
        <v>3.1442499999999995</v>
      </c>
      <c r="M27" s="4">
        <v>4.8092499999999996</v>
      </c>
      <c r="N27" s="4">
        <v>3.87175</v>
      </c>
      <c r="O27" s="4">
        <v>5.3239999999999998</v>
      </c>
      <c r="P27" s="4">
        <v>3.7767499999999994</v>
      </c>
      <c r="Q27" s="4">
        <v>2.1117500000000002</v>
      </c>
      <c r="R27" s="4">
        <v>1.5817499999999998</v>
      </c>
      <c r="S27" s="4">
        <v>3.5169999999999999</v>
      </c>
      <c r="T27" s="4">
        <v>3.6034999999999995</v>
      </c>
      <c r="U27" s="6">
        <v>4.4115000000000002</v>
      </c>
      <c r="V27" s="6">
        <v>2.6520000000000001</v>
      </c>
      <c r="W27" s="6">
        <v>4.258</v>
      </c>
      <c r="X27" s="6">
        <v>3.0652499999999994</v>
      </c>
      <c r="Y27" s="6">
        <v>3.6387500000000004</v>
      </c>
      <c r="Z27" s="6">
        <v>4.7515000000000001</v>
      </c>
      <c r="AA27" s="6">
        <v>3.4067500000000002</v>
      </c>
      <c r="AB27" s="6">
        <v>2.0225</v>
      </c>
      <c r="AC27" s="6">
        <v>2.8562500000000002</v>
      </c>
      <c r="AD27" s="6">
        <v>4.4787499999999989</v>
      </c>
      <c r="AE27" s="6">
        <v>3.3299999999999996</v>
      </c>
      <c r="AF27" s="6">
        <v>2.3247499999999999</v>
      </c>
      <c r="AG27" s="6">
        <v>2.7657500000000002</v>
      </c>
      <c r="AH27" s="6">
        <v>4.9602500000000003</v>
      </c>
      <c r="AK27" s="31"/>
      <c r="AL27" s="8" t="s">
        <v>186</v>
      </c>
      <c r="AM27" s="9">
        <f>AVERAGE(C25:AH25)</f>
        <v>1.0210714285714286</v>
      </c>
      <c r="AN27" s="9">
        <f>_xlfn.STDEV.S(C25:AH25)</f>
        <v>0.18563582820750366</v>
      </c>
      <c r="AO27" s="9">
        <f t="shared" si="2"/>
        <v>0.33318631921043679</v>
      </c>
      <c r="AP27" s="9"/>
      <c r="AQ27" s="9"/>
      <c r="AR27" s="9"/>
      <c r="AS27" s="9"/>
      <c r="AT27" s="9"/>
      <c r="AU27" s="9"/>
      <c r="AX27" s="28"/>
      <c r="AY27" s="93" t="s">
        <v>186</v>
      </c>
      <c r="AZ27" s="14" t="s">
        <v>135</v>
      </c>
      <c r="BA27" s="14">
        <v>0.33</v>
      </c>
      <c r="BB27" s="28" t="s">
        <v>117</v>
      </c>
      <c r="BC27" s="28"/>
      <c r="BD27" s="14" t="s">
        <v>117</v>
      </c>
      <c r="BE27" s="28" t="s">
        <v>117</v>
      </c>
      <c r="BF27" s="28"/>
      <c r="BG27" s="14" t="s">
        <v>117</v>
      </c>
    </row>
    <row r="28" spans="1:59" ht="16" x14ac:dyDescent="0.2">
      <c r="A28" s="24"/>
      <c r="B28" s="3" t="s">
        <v>44</v>
      </c>
      <c r="C28" s="4">
        <v>24.780999999999999</v>
      </c>
      <c r="D28" s="4">
        <v>42.585000000000001</v>
      </c>
      <c r="E28" s="4">
        <v>63.488999999999997</v>
      </c>
      <c r="F28" s="4">
        <v>32.95825</v>
      </c>
      <c r="G28" s="4">
        <v>44.055</v>
      </c>
      <c r="H28" s="4">
        <v>40.468000000000004</v>
      </c>
      <c r="I28" s="4">
        <v>58.98075</v>
      </c>
      <c r="J28" s="4">
        <v>59.082500000000003</v>
      </c>
      <c r="K28" s="4">
        <v>53.986750000000008</v>
      </c>
      <c r="L28" s="4">
        <v>43.270499999999998</v>
      </c>
      <c r="M28" s="4">
        <v>76.234499999999997</v>
      </c>
      <c r="N28" s="4">
        <v>57.18</v>
      </c>
      <c r="O28" s="4">
        <v>80.763249999999999</v>
      </c>
      <c r="P28" s="4">
        <v>47.548000000000002</v>
      </c>
      <c r="Q28" s="4">
        <v>20.399750000000001</v>
      </c>
      <c r="R28" s="4">
        <v>13.996</v>
      </c>
      <c r="S28" s="4">
        <v>39.65325</v>
      </c>
      <c r="T28" s="4"/>
      <c r="U28" s="6">
        <v>48.752999999999993</v>
      </c>
      <c r="V28" s="6">
        <v>35.702750000000002</v>
      </c>
      <c r="W28" s="6">
        <v>55.759500000000003</v>
      </c>
      <c r="X28" s="6">
        <v>40.669499999999999</v>
      </c>
      <c r="Y28" s="6">
        <v>64.51925</v>
      </c>
      <c r="Z28" s="6">
        <v>65.152249999999981</v>
      </c>
      <c r="AA28" s="6">
        <v>30.681999999999999</v>
      </c>
      <c r="AB28" s="6">
        <v>18.368500000000001</v>
      </c>
      <c r="AC28" s="6">
        <v>29.023250000000001</v>
      </c>
      <c r="AD28" s="6">
        <v>59.611000000000004</v>
      </c>
      <c r="AE28" s="6">
        <v>36.882249999999999</v>
      </c>
      <c r="AF28" s="6">
        <v>21.289000000000001</v>
      </c>
      <c r="AG28" s="6"/>
      <c r="AH28" s="6"/>
      <c r="AK28" s="8"/>
      <c r="AL28" s="8" t="s">
        <v>63</v>
      </c>
      <c r="AM28" s="9">
        <f>SUM(AM23:AM27)</f>
        <v>8.5473886160714283</v>
      </c>
      <c r="AN28" s="9">
        <f>_xlfn.STDEV.S(C21:AH25)</f>
        <v>1.1312729440935005</v>
      </c>
      <c r="AO28" s="9">
        <f>SUM(AO23:AO27)</f>
        <v>2.789102576138538</v>
      </c>
      <c r="AP28" s="9">
        <f>SUM(AP23:AP27)</f>
        <v>0</v>
      </c>
      <c r="AQ28" s="9"/>
      <c r="AR28" s="9">
        <f>SUM(AR23:AR27)</f>
        <v>0</v>
      </c>
      <c r="AS28" s="9">
        <f>SUM(AS23:AS27)</f>
        <v>0</v>
      </c>
      <c r="AT28" s="9"/>
      <c r="AU28" s="9">
        <f>SUM(AU23:AU27)</f>
        <v>0</v>
      </c>
      <c r="AX28" s="30" t="s">
        <v>63</v>
      </c>
      <c r="AY28" s="30"/>
      <c r="AZ28" s="13" t="s">
        <v>136</v>
      </c>
      <c r="BA28" s="13">
        <v>2.79</v>
      </c>
      <c r="BB28" s="30" t="s">
        <v>117</v>
      </c>
      <c r="BC28" s="30"/>
      <c r="BD28" s="13" t="s">
        <v>117</v>
      </c>
      <c r="BE28" s="30" t="s">
        <v>117</v>
      </c>
      <c r="BF28" s="30"/>
      <c r="BG28" s="13" t="s">
        <v>117</v>
      </c>
    </row>
    <row r="29" spans="1:59" ht="16" x14ac:dyDescent="0.2">
      <c r="A29" s="24"/>
      <c r="B29" s="3" t="s">
        <v>45</v>
      </c>
      <c r="C29" s="4">
        <v>45.846499999999992</v>
      </c>
      <c r="D29" s="4">
        <v>96.906999999999996</v>
      </c>
      <c r="E29" s="4">
        <v>94.461250000000007</v>
      </c>
      <c r="F29" s="4">
        <v>57.784750000000003</v>
      </c>
      <c r="G29" s="4">
        <v>80.84975</v>
      </c>
      <c r="H29" s="4">
        <v>50.143000000000001</v>
      </c>
      <c r="I29" s="4">
        <v>118.58074999999999</v>
      </c>
      <c r="J29" s="4">
        <v>121.69349999999999</v>
      </c>
      <c r="K29" s="4">
        <v>85.467250000000021</v>
      </c>
      <c r="L29" s="4">
        <v>64.94</v>
      </c>
      <c r="M29" s="4">
        <v>133.43174999999997</v>
      </c>
      <c r="N29" s="4">
        <v>102.84625</v>
      </c>
      <c r="O29" s="4">
        <v>119.7505</v>
      </c>
      <c r="P29" s="4">
        <v>84.092499999999987</v>
      </c>
      <c r="Q29" s="4">
        <v>36.346249999999998</v>
      </c>
      <c r="R29" s="4">
        <v>30.768750000000001</v>
      </c>
      <c r="S29" s="4">
        <v>87.149000000000001</v>
      </c>
      <c r="T29" s="4"/>
      <c r="U29" s="6">
        <v>122.51674999999999</v>
      </c>
      <c r="V29" s="6">
        <v>67.018749999999997</v>
      </c>
      <c r="W29" s="6">
        <v>99.958749999999995</v>
      </c>
      <c r="X29" s="6">
        <v>74.725250000000003</v>
      </c>
      <c r="Y29" s="6">
        <v>91.490749999999991</v>
      </c>
      <c r="Z29" s="6">
        <v>109.7445</v>
      </c>
      <c r="AA29" s="6">
        <v>85.125249999999994</v>
      </c>
      <c r="AB29" s="6">
        <v>34.692999999999998</v>
      </c>
      <c r="AC29" s="6">
        <v>82.026750000000007</v>
      </c>
      <c r="AD29" s="6">
        <v>103.9455</v>
      </c>
      <c r="AE29" s="6">
        <v>70.744500000000002</v>
      </c>
      <c r="AF29" s="6"/>
      <c r="AG29" s="6"/>
      <c r="AH29" s="6">
        <v>94.752499999999998</v>
      </c>
      <c r="AK29" s="31" t="s">
        <v>41</v>
      </c>
      <c r="AL29" s="8" t="s">
        <v>42</v>
      </c>
      <c r="AM29" s="9">
        <f>AVERAGE(C26:AH26)</f>
        <v>3.4735937500000005</v>
      </c>
      <c r="AN29" s="9">
        <f>_xlfn.STDEV.S(C26:AH26)</f>
        <v>1.0654544592037218</v>
      </c>
      <c r="AO29" s="9">
        <f t="shared" si="2"/>
        <v>1.1334700821216017</v>
      </c>
      <c r="AP29" s="9"/>
      <c r="AQ29" s="9"/>
      <c r="AR29" s="9"/>
      <c r="AS29" s="9"/>
      <c r="AT29" s="9"/>
      <c r="AU29" s="9"/>
      <c r="AX29" s="27" t="s">
        <v>41</v>
      </c>
      <c r="AY29" s="12" t="s">
        <v>42</v>
      </c>
      <c r="AZ29" s="12" t="s">
        <v>137</v>
      </c>
      <c r="BA29" s="12">
        <v>1.1299999999999999</v>
      </c>
      <c r="BB29" s="27" t="s">
        <v>117</v>
      </c>
      <c r="BC29" s="27"/>
      <c r="BD29" s="12" t="s">
        <v>117</v>
      </c>
      <c r="BE29" s="27" t="s">
        <v>117</v>
      </c>
      <c r="BF29" s="27"/>
      <c r="BG29" s="12" t="s">
        <v>117</v>
      </c>
    </row>
    <row r="30" spans="1:59" ht="16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K30" s="31"/>
      <c r="AL30" s="8" t="s">
        <v>43</v>
      </c>
      <c r="AM30" s="9">
        <f>AVERAGE(C27:AH27)</f>
        <v>3.4909140624999995</v>
      </c>
      <c r="AN30" s="9">
        <f>_xlfn.STDEV.S(C27:AH27)</f>
        <v>1.043797930345068</v>
      </c>
      <c r="AO30" s="9">
        <f t="shared" si="2"/>
        <v>1.1391218817978723</v>
      </c>
      <c r="AP30" s="9">
        <f>AVERAGE(C42:AH42)</f>
        <v>0.91244565217391294</v>
      </c>
      <c r="AQ30" s="9">
        <f>_xlfn.STDEV.S(C42:AH42)</f>
        <v>0.27923556319524295</v>
      </c>
      <c r="AR30" s="9">
        <f t="shared" ref="AR30:AR32" si="9">(AP30/$AP$35)*100</f>
        <v>3.6527642653669314</v>
      </c>
      <c r="AS30" s="9"/>
      <c r="AT30" s="9"/>
      <c r="AU30" s="9"/>
      <c r="AX30" s="30"/>
      <c r="AY30" s="13" t="s">
        <v>43</v>
      </c>
      <c r="AZ30" s="13" t="s">
        <v>138</v>
      </c>
      <c r="BA30" s="13">
        <v>1.1399999999999999</v>
      </c>
      <c r="BB30" s="30" t="s">
        <v>94</v>
      </c>
      <c r="BC30" s="30"/>
      <c r="BD30" s="13">
        <v>3.65</v>
      </c>
      <c r="BE30" s="30" t="s">
        <v>117</v>
      </c>
      <c r="BF30" s="30"/>
      <c r="BG30" s="13" t="s">
        <v>117</v>
      </c>
    </row>
    <row r="31" spans="1:59" ht="16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K31" s="31"/>
      <c r="AL31" s="8" t="s">
        <v>44</v>
      </c>
      <c r="AM31" s="9">
        <f>AVERAGE(C28:AH28)</f>
        <v>45.029094827586199</v>
      </c>
      <c r="AN31" s="9">
        <f>_xlfn.STDEV.S(C28:AH28)</f>
        <v>17.359774697071909</v>
      </c>
      <c r="AO31" s="9">
        <f t="shared" si="2"/>
        <v>14.693466042793723</v>
      </c>
      <c r="AP31" s="9">
        <f>AVERAGE(C43:AH43)</f>
        <v>5.4826532258064518</v>
      </c>
      <c r="AQ31" s="9">
        <f>_xlfn.STDEV.S(C43:AH43)</f>
        <v>2.4618145845404191</v>
      </c>
      <c r="AR31" s="9">
        <f t="shared" si="9"/>
        <v>21.948528917761127</v>
      </c>
      <c r="AS31" s="9">
        <f>AVERAGE(C55:AH55)</f>
        <v>2.3190948275862073</v>
      </c>
      <c r="AT31" s="9">
        <f>_xlfn.STDEV.S(C55:AH55)</f>
        <v>0.76579879051979172</v>
      </c>
      <c r="AU31" s="9">
        <f>(AS31/$AS$35)*100</f>
        <v>12.130136564307611</v>
      </c>
      <c r="AX31" s="30"/>
      <c r="AY31" s="13" t="s">
        <v>44</v>
      </c>
      <c r="AZ31" s="13" t="s">
        <v>95</v>
      </c>
      <c r="BA31" s="13">
        <v>14.69</v>
      </c>
      <c r="BB31" s="30" t="s">
        <v>96</v>
      </c>
      <c r="BC31" s="30"/>
      <c r="BD31" s="13">
        <v>21.95</v>
      </c>
      <c r="BE31" s="30" t="s">
        <v>97</v>
      </c>
      <c r="BF31" s="30"/>
      <c r="BG31" s="13">
        <v>12.13</v>
      </c>
    </row>
    <row r="32" spans="1:59" ht="16" x14ac:dyDescent="0.2">
      <c r="A32" s="1" t="s">
        <v>119</v>
      </c>
      <c r="B32" s="18" t="s">
        <v>208</v>
      </c>
      <c r="C32" s="18" t="s">
        <v>0</v>
      </c>
      <c r="D32" s="18" t="s">
        <v>1</v>
      </c>
      <c r="E32" s="18" t="s">
        <v>2</v>
      </c>
      <c r="F32" s="18" t="s">
        <v>3</v>
      </c>
      <c r="G32" s="18" t="s">
        <v>4</v>
      </c>
      <c r="H32" s="18" t="s">
        <v>5</v>
      </c>
      <c r="I32" s="18" t="s">
        <v>6</v>
      </c>
      <c r="J32" s="18" t="s">
        <v>7</v>
      </c>
      <c r="K32" s="18" t="s">
        <v>8</v>
      </c>
      <c r="L32" s="18" t="s">
        <v>9</v>
      </c>
      <c r="M32" s="18" t="s">
        <v>10</v>
      </c>
      <c r="N32" s="18" t="s">
        <v>11</v>
      </c>
      <c r="O32" s="18" t="s">
        <v>12</v>
      </c>
      <c r="P32" s="18" t="s">
        <v>13</v>
      </c>
      <c r="Q32" s="18" t="s">
        <v>14</v>
      </c>
      <c r="R32" s="18" t="s">
        <v>15</v>
      </c>
      <c r="S32" s="18" t="s">
        <v>16</v>
      </c>
      <c r="T32" s="18" t="s">
        <v>17</v>
      </c>
      <c r="U32" s="19" t="s">
        <v>46</v>
      </c>
      <c r="V32" s="19" t="s">
        <v>47</v>
      </c>
      <c r="W32" s="19" t="s">
        <v>48</v>
      </c>
      <c r="X32" s="19" t="s">
        <v>49</v>
      </c>
      <c r="Y32" s="19" t="s">
        <v>50</v>
      </c>
      <c r="Z32" s="19" t="s">
        <v>51</v>
      </c>
      <c r="AA32" s="19" t="s">
        <v>52</v>
      </c>
      <c r="AB32" s="19" t="s">
        <v>53</v>
      </c>
      <c r="AC32" s="19" t="s">
        <v>54</v>
      </c>
      <c r="AD32" s="19" t="s">
        <v>55</v>
      </c>
      <c r="AE32" s="19" t="s">
        <v>56</v>
      </c>
      <c r="AF32" s="19" t="s">
        <v>57</v>
      </c>
      <c r="AG32" s="19" t="s">
        <v>58</v>
      </c>
      <c r="AH32" s="19" t="s">
        <v>59</v>
      </c>
      <c r="AK32" s="31"/>
      <c r="AL32" s="8" t="s">
        <v>45</v>
      </c>
      <c r="AM32" s="9">
        <f>AVERAGE(C29:AH29)</f>
        <v>84.406931034482753</v>
      </c>
      <c r="AN32" s="9">
        <f>_xlfn.STDEV.S(C29:AH29)</f>
        <v>27.83918873757823</v>
      </c>
      <c r="AO32" s="9">
        <f t="shared" si="2"/>
        <v>27.542867110262254</v>
      </c>
      <c r="AP32" s="9">
        <f>AVERAGE(C44:AH44)</f>
        <v>6.1703984375000003</v>
      </c>
      <c r="AQ32" s="9">
        <f>_xlfn.STDEV.S(C44:AH44)</f>
        <v>2.8404517990664897</v>
      </c>
      <c r="AR32" s="9">
        <f t="shared" si="9"/>
        <v>24.701757153290696</v>
      </c>
      <c r="AS32" s="9">
        <f>AVERAGE(C56:AH56)</f>
        <v>6.1098749999999979</v>
      </c>
      <c r="AT32" s="9">
        <f>_xlfn.STDEV.S(C56:AH56)</f>
        <v>2.321303587808845</v>
      </c>
      <c r="AU32" s="9">
        <f>(AS32/$AS$35)*100</f>
        <v>31.957993808294987</v>
      </c>
      <c r="AX32" s="28"/>
      <c r="AY32" s="14" t="s">
        <v>45</v>
      </c>
      <c r="AZ32" s="14" t="s">
        <v>98</v>
      </c>
      <c r="BA32" s="14">
        <v>27.54</v>
      </c>
      <c r="BB32" s="28" t="s">
        <v>99</v>
      </c>
      <c r="BC32" s="28"/>
      <c r="BD32" s="14">
        <v>24.7</v>
      </c>
      <c r="BE32" s="28" t="s">
        <v>100</v>
      </c>
      <c r="BF32" s="28"/>
      <c r="BG32" s="14">
        <v>31.96</v>
      </c>
    </row>
    <row r="33" spans="1:59" ht="16" x14ac:dyDescent="0.2">
      <c r="A33" s="21" t="s">
        <v>122</v>
      </c>
      <c r="B33" s="3" t="s">
        <v>18</v>
      </c>
      <c r="C33" s="3">
        <v>0.29149999999999998</v>
      </c>
      <c r="D33" s="3">
        <v>0.24575</v>
      </c>
      <c r="E33" s="3">
        <v>0.19399999999999998</v>
      </c>
      <c r="F33" s="3">
        <v>0.23874999999999999</v>
      </c>
      <c r="G33" s="3">
        <v>0.22425</v>
      </c>
      <c r="H33" s="3">
        <v>0.1885</v>
      </c>
      <c r="I33" s="3">
        <v>0.17849999999999999</v>
      </c>
      <c r="J33" s="3">
        <v>0.12975</v>
      </c>
      <c r="K33" s="3">
        <v>0.23524999999999999</v>
      </c>
      <c r="L33" s="3">
        <v>0.17799999999999999</v>
      </c>
      <c r="M33" s="3">
        <v>0.16425000000000001</v>
      </c>
      <c r="N33" s="3">
        <v>0.24550000000000002</v>
      </c>
      <c r="O33" s="3">
        <v>0.18925</v>
      </c>
      <c r="P33" s="3"/>
      <c r="Q33" s="3"/>
      <c r="R33" s="3"/>
      <c r="S33" s="3"/>
      <c r="T33" s="3"/>
      <c r="U33" s="6">
        <v>0.12625</v>
      </c>
      <c r="V33" s="6">
        <v>0.2215</v>
      </c>
      <c r="W33" s="6">
        <v>0.19275</v>
      </c>
      <c r="X33" s="6">
        <v>0.2535</v>
      </c>
      <c r="Y33" s="6">
        <v>0.27300000000000002</v>
      </c>
      <c r="Z33" s="6">
        <v>0.24125000000000002</v>
      </c>
      <c r="AA33" s="6">
        <v>0.29149999999999998</v>
      </c>
      <c r="AB33" s="6">
        <v>0.22374999999999998</v>
      </c>
      <c r="AC33" s="6">
        <v>0.22225</v>
      </c>
      <c r="AD33" s="6">
        <v>0.22400000000000003</v>
      </c>
      <c r="AE33" s="6">
        <v>0.23225000000000004</v>
      </c>
      <c r="AF33" s="6"/>
      <c r="AG33" s="6"/>
      <c r="AH33" s="6"/>
      <c r="AK33" s="10"/>
      <c r="AL33" s="8" t="s">
        <v>64</v>
      </c>
      <c r="AM33" s="9">
        <f>SUM(AM29:AM32)</f>
        <v>136.40053367456895</v>
      </c>
      <c r="AN33" s="9">
        <f>_xlfn.STDEV.S(C26:AH29)</f>
        <v>37.126587559229733</v>
      </c>
      <c r="AO33" s="9">
        <f>SUM(AO29:AO32)</f>
        <v>44.508925116975448</v>
      </c>
      <c r="AP33" s="9">
        <f>SUM(AP29:AP32)</f>
        <v>12.565497315480364</v>
      </c>
      <c r="AQ33" s="9">
        <f>_xlfn.STDEV.S(C42:AH44)</f>
        <v>3.1601664792780664</v>
      </c>
      <c r="AR33" s="9">
        <f>SUM(AR29:AR32)</f>
        <v>50.30305033641875</v>
      </c>
      <c r="AS33" s="9">
        <f>SUM(AS29:AS32)</f>
        <v>8.4289698275862044</v>
      </c>
      <c r="AT33" s="9">
        <f>_xlfn.STDEV.S(C55:AH56)</f>
        <v>2.5886778337034637</v>
      </c>
      <c r="AU33" s="9">
        <f>SUM(AU29:AU32)</f>
        <v>44.088130372602599</v>
      </c>
      <c r="AX33" s="29" t="s">
        <v>64</v>
      </c>
      <c r="AY33" s="29"/>
      <c r="AZ33" s="11" t="s">
        <v>139</v>
      </c>
      <c r="BA33" s="11">
        <v>44.51</v>
      </c>
      <c r="BB33" s="29" t="s">
        <v>101</v>
      </c>
      <c r="BC33" s="29"/>
      <c r="BD33" s="11">
        <v>50.3</v>
      </c>
      <c r="BE33" s="29" t="s">
        <v>102</v>
      </c>
      <c r="BF33" s="29"/>
      <c r="BG33" s="11">
        <v>44.09</v>
      </c>
    </row>
    <row r="34" spans="1:59" ht="16" x14ac:dyDescent="0.2">
      <c r="A34" s="21"/>
      <c r="B34" s="3" t="s">
        <v>19</v>
      </c>
      <c r="C34" s="3"/>
      <c r="D34" s="3"/>
      <c r="E34" s="3"/>
      <c r="F34" s="3"/>
      <c r="G34" s="3"/>
      <c r="H34" s="3"/>
      <c r="I34" s="3"/>
      <c r="J34" s="3"/>
      <c r="K34" s="3"/>
      <c r="L34" s="3">
        <v>0.77649999999999997</v>
      </c>
      <c r="M34" s="3"/>
      <c r="N34" s="3"/>
      <c r="O34" s="3"/>
      <c r="P34" s="3"/>
      <c r="Q34" s="3"/>
      <c r="R34" s="3"/>
      <c r="S34" s="3"/>
      <c r="T34" s="3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K34" s="10"/>
      <c r="AL34" s="8" t="s">
        <v>65</v>
      </c>
      <c r="AM34" s="9">
        <f>SUM(AM28,AM33)</f>
        <v>144.94792229064038</v>
      </c>
      <c r="AN34" s="9">
        <f>_xlfn.STDEV.S(C21:AH29)</f>
        <v>30.972351228291021</v>
      </c>
      <c r="AO34" s="9">
        <f t="shared" ref="AO34:AU34" si="10">SUM(AO28,AO33)</f>
        <v>47.298027693113987</v>
      </c>
      <c r="AP34" s="9">
        <f t="shared" si="10"/>
        <v>12.565497315480364</v>
      </c>
      <c r="AQ34" s="9">
        <f t="shared" si="10"/>
        <v>3.1601664792780664</v>
      </c>
      <c r="AR34" s="9">
        <f t="shared" si="10"/>
        <v>50.30305033641875</v>
      </c>
      <c r="AS34" s="9">
        <f t="shared" si="10"/>
        <v>8.4289698275862044</v>
      </c>
      <c r="AT34" s="9">
        <f t="shared" si="10"/>
        <v>2.5886778337034637</v>
      </c>
      <c r="AU34" s="9">
        <f t="shared" si="10"/>
        <v>44.088130372602599</v>
      </c>
      <c r="AX34" s="29" t="s">
        <v>65</v>
      </c>
      <c r="AY34" s="29"/>
      <c r="AZ34" s="11" t="s">
        <v>140</v>
      </c>
      <c r="BA34" s="17">
        <v>47.3</v>
      </c>
      <c r="BB34" s="29" t="s">
        <v>101</v>
      </c>
      <c r="BC34" s="29"/>
      <c r="BD34" s="11">
        <v>50.3</v>
      </c>
      <c r="BE34" s="29" t="s">
        <v>102</v>
      </c>
      <c r="BF34" s="29"/>
      <c r="BG34" s="11">
        <v>44.09</v>
      </c>
    </row>
    <row r="35" spans="1:59" ht="16" x14ac:dyDescent="0.2">
      <c r="A35" s="21"/>
      <c r="B35" s="3" t="s">
        <v>21</v>
      </c>
      <c r="C35" s="3">
        <v>0.22499999999999998</v>
      </c>
      <c r="D35" s="3">
        <v>0.52400000000000002</v>
      </c>
      <c r="E35" s="3"/>
      <c r="F35" s="3"/>
      <c r="G35" s="3"/>
      <c r="H35" s="3">
        <v>0.23899999999999996</v>
      </c>
      <c r="I35" s="3"/>
      <c r="J35" s="3">
        <v>0.29424999999999996</v>
      </c>
      <c r="K35" s="3">
        <v>0.19799999999999998</v>
      </c>
      <c r="L35" s="3">
        <v>0.21324999999999997</v>
      </c>
      <c r="M35" s="3"/>
      <c r="N35" s="3"/>
      <c r="O35" s="3"/>
      <c r="P35" s="3"/>
      <c r="Q35" s="3">
        <v>0.12549999999999997</v>
      </c>
      <c r="R35" s="3">
        <v>0.1215</v>
      </c>
      <c r="S35" s="3"/>
      <c r="T35" s="3"/>
      <c r="U35" s="6">
        <v>0.37375000000000003</v>
      </c>
      <c r="V35" s="6"/>
      <c r="W35" s="6">
        <v>0.32250000000000001</v>
      </c>
      <c r="X35" s="6"/>
      <c r="Y35" s="6"/>
      <c r="Z35" s="6"/>
      <c r="AA35" s="6">
        <v>0.54225000000000001</v>
      </c>
      <c r="AB35" s="6"/>
      <c r="AC35" s="6"/>
      <c r="AD35" s="6">
        <v>0.34975000000000001</v>
      </c>
      <c r="AE35" s="6">
        <v>0.2555</v>
      </c>
      <c r="AF35" s="6">
        <v>0.28549999999999992</v>
      </c>
      <c r="AG35" s="6">
        <v>0.14050000000000001</v>
      </c>
      <c r="AH35" s="6">
        <v>0.27800000000000002</v>
      </c>
      <c r="AK35" s="10"/>
      <c r="AL35" s="8" t="s">
        <v>224</v>
      </c>
      <c r="AM35" s="9">
        <f>SUM(AM14,AM22,AM34)</f>
        <v>306.45658891130256</v>
      </c>
      <c r="AN35" s="9">
        <f>_xlfn.STDEV.S(C4:AH29)</f>
        <v>22.085688154434312</v>
      </c>
      <c r="AO35" s="9">
        <f>SUM(AO14,AO22,AO34)</f>
        <v>100</v>
      </c>
      <c r="AP35" s="9">
        <f>SUM(AP14,AP22,AP34)</f>
        <v>24.979593148813699</v>
      </c>
      <c r="AQ35" s="9">
        <f>_xlfn.STDEV.S(C33:AH44)</f>
        <v>2.5699248605428222</v>
      </c>
      <c r="AR35" s="9">
        <f>SUM(AR14,AR22,AR34)</f>
        <v>100</v>
      </c>
      <c r="AS35" s="9">
        <f>SUM(AS14,AS22,AS34)</f>
        <v>19.118456047807747</v>
      </c>
      <c r="AT35" s="9">
        <f>_xlfn.STDEV.S(C48:AH56)</f>
        <v>2.2241898047180837</v>
      </c>
      <c r="AU35" s="9">
        <f>SUM(AU14,AU22,AU34)</f>
        <v>100</v>
      </c>
      <c r="AX35" s="92" t="s">
        <v>224</v>
      </c>
      <c r="AY35" s="29"/>
      <c r="AZ35" s="11" t="s">
        <v>141</v>
      </c>
      <c r="BA35" s="11">
        <v>100</v>
      </c>
      <c r="BB35" s="29" t="s">
        <v>103</v>
      </c>
      <c r="BC35" s="29"/>
      <c r="BD35" s="11">
        <v>100</v>
      </c>
      <c r="BE35" s="29" t="s">
        <v>104</v>
      </c>
      <c r="BF35" s="29"/>
      <c r="BG35" s="11">
        <v>100</v>
      </c>
    </row>
    <row r="36" spans="1:59" x14ac:dyDescent="0.2">
      <c r="A36" s="21"/>
      <c r="B36" s="3" t="s">
        <v>23</v>
      </c>
      <c r="C36" s="3">
        <v>5.0547500000000003</v>
      </c>
      <c r="D36" s="3">
        <v>7.0440000000000005</v>
      </c>
      <c r="E36" s="3">
        <v>4.3427499999999997</v>
      </c>
      <c r="F36" s="3">
        <v>5.2154999999999996</v>
      </c>
      <c r="G36" s="3">
        <v>3.3732499999999996</v>
      </c>
      <c r="H36" s="3">
        <v>4.6767499999999993</v>
      </c>
      <c r="I36" s="3">
        <v>3.6277499999999998</v>
      </c>
      <c r="J36" s="3">
        <v>5.3680000000000003</v>
      </c>
      <c r="K36" s="3">
        <v>5.4340000000000002</v>
      </c>
      <c r="L36" s="3">
        <v>4.3360000000000003</v>
      </c>
      <c r="M36" s="3">
        <v>4.4764999999999997</v>
      </c>
      <c r="N36" s="3">
        <v>3.8982500000000004</v>
      </c>
      <c r="O36" s="3">
        <v>4.5795000000000003</v>
      </c>
      <c r="P36" s="3">
        <v>3.2612499999999995</v>
      </c>
      <c r="Q36" s="3">
        <v>4.4705000000000004</v>
      </c>
      <c r="R36" s="3">
        <v>3.5529999999999999</v>
      </c>
      <c r="S36" s="3">
        <v>2.9907499999999998</v>
      </c>
      <c r="T36" s="3">
        <v>4.1997499999999999</v>
      </c>
      <c r="U36" s="6">
        <v>5.8704999999999998</v>
      </c>
      <c r="V36" s="6">
        <v>3.55</v>
      </c>
      <c r="W36" s="6">
        <v>4.3627500000000001</v>
      </c>
      <c r="X36" s="6">
        <v>2.6227499999999999</v>
      </c>
      <c r="Y36" s="6">
        <v>3.7087500000000002</v>
      </c>
      <c r="Z36" s="6">
        <v>3.4820000000000002</v>
      </c>
      <c r="AA36" s="6">
        <v>5.5377499999999991</v>
      </c>
      <c r="AB36" s="6">
        <v>4.0637499999999989</v>
      </c>
      <c r="AC36" s="6">
        <v>3.766</v>
      </c>
      <c r="AD36" s="6">
        <v>4.6055000000000001</v>
      </c>
      <c r="AE36" s="6">
        <v>3.407</v>
      </c>
      <c r="AF36" s="6">
        <v>4.754249999999999</v>
      </c>
      <c r="AG36" s="6">
        <v>3.5477500000000002</v>
      </c>
      <c r="AH36" s="6">
        <v>5.7255000000000003</v>
      </c>
    </row>
    <row r="37" spans="1:59" x14ac:dyDescent="0.2">
      <c r="A37" s="21"/>
      <c r="B37" s="3" t="s">
        <v>24</v>
      </c>
      <c r="C37" s="3"/>
      <c r="D37" s="3">
        <v>0.65399999999999991</v>
      </c>
      <c r="E37" s="3"/>
      <c r="F37" s="3"/>
      <c r="G37" s="3"/>
      <c r="H37" s="3">
        <v>0.40500000000000008</v>
      </c>
      <c r="I37" s="3"/>
      <c r="J37" s="3"/>
      <c r="K37" s="3">
        <v>0.52324999999999999</v>
      </c>
      <c r="L37" s="3"/>
      <c r="M37" s="3">
        <v>0.49275000000000002</v>
      </c>
      <c r="N37" s="3"/>
      <c r="O37" s="3"/>
      <c r="P37" s="3"/>
      <c r="Q37" s="3">
        <v>0.38624999999999993</v>
      </c>
      <c r="R37" s="3"/>
      <c r="S37" s="3">
        <v>0.22975000000000004</v>
      </c>
      <c r="T37" s="3">
        <v>0.23124999999999998</v>
      </c>
      <c r="U37" s="6">
        <v>0.52174999999999994</v>
      </c>
      <c r="V37" s="6"/>
      <c r="W37" s="6"/>
      <c r="X37" s="6"/>
      <c r="Y37" s="6"/>
      <c r="Z37" s="6"/>
      <c r="AA37" s="6"/>
      <c r="AB37" s="6"/>
      <c r="AC37" s="6"/>
      <c r="AD37" s="6"/>
      <c r="AE37" s="6">
        <v>0.32374999999999998</v>
      </c>
      <c r="AF37" s="6"/>
      <c r="AG37" s="6"/>
      <c r="AH37" s="6">
        <v>0.33424999999999999</v>
      </c>
    </row>
    <row r="38" spans="1:59" x14ac:dyDescent="0.2">
      <c r="A38" s="21"/>
      <c r="B38" s="3" t="s">
        <v>25</v>
      </c>
      <c r="C38" s="3">
        <v>1.9589999999999999</v>
      </c>
      <c r="D38" s="3">
        <v>2.16675</v>
      </c>
      <c r="E38" s="3">
        <v>1.3862500000000002</v>
      </c>
      <c r="F38" s="3">
        <v>1.8672499999999999</v>
      </c>
      <c r="G38" s="3">
        <v>3.5880000000000001</v>
      </c>
      <c r="H38" s="3">
        <v>2.6840000000000002</v>
      </c>
      <c r="I38" s="3">
        <v>1.3265</v>
      </c>
      <c r="J38" s="3">
        <v>2.4667500000000007</v>
      </c>
      <c r="K38" s="3">
        <v>1.9107499999999999</v>
      </c>
      <c r="L38" s="3">
        <v>1.6664999999999999</v>
      </c>
      <c r="M38" s="3">
        <v>4.4247500000000004</v>
      </c>
      <c r="N38" s="3">
        <v>1.3804999999999998</v>
      </c>
      <c r="O38" s="3">
        <v>1.9644999999999999</v>
      </c>
      <c r="P38" s="3">
        <v>1.8294999999999999</v>
      </c>
      <c r="Q38" s="3">
        <v>3.9285000000000001</v>
      </c>
      <c r="R38" s="3">
        <v>1.29325</v>
      </c>
      <c r="S38" s="3">
        <v>1.2227499999999998</v>
      </c>
      <c r="T38" s="3">
        <v>1.5017499999999997</v>
      </c>
      <c r="U38" s="6">
        <v>3.6579999999999999</v>
      </c>
      <c r="V38" s="6">
        <v>2.3664999999999998</v>
      </c>
      <c r="W38" s="6">
        <v>2.08175</v>
      </c>
      <c r="X38" s="6">
        <v>1.6372500000000001</v>
      </c>
      <c r="Y38" s="6">
        <v>2.3037500000000004</v>
      </c>
      <c r="Z38" s="6">
        <v>1.8655000000000002</v>
      </c>
      <c r="AA38" s="6">
        <v>3.3682500000000002</v>
      </c>
      <c r="AB38" s="6">
        <v>4.3010000000000002</v>
      </c>
      <c r="AC38" s="6">
        <v>2.8017500000000002</v>
      </c>
      <c r="AD38" s="6">
        <v>2.7890000000000001</v>
      </c>
      <c r="AE38" s="6">
        <v>2.1102500000000002</v>
      </c>
      <c r="AF38" s="6">
        <v>2.7032500000000002</v>
      </c>
      <c r="AG38" s="6">
        <v>2.2202500000000001</v>
      </c>
      <c r="AH38" s="6">
        <v>2.6712500000000001</v>
      </c>
    </row>
    <row r="39" spans="1:59" x14ac:dyDescent="0.2">
      <c r="A39" s="21" t="s">
        <v>28</v>
      </c>
      <c r="B39" s="3" t="s">
        <v>30</v>
      </c>
      <c r="C39" s="3"/>
      <c r="D39" s="3">
        <v>0.29199999999999998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59" x14ac:dyDescent="0.2">
      <c r="A40" s="21"/>
      <c r="B40" s="3" t="s">
        <v>32</v>
      </c>
      <c r="C40" s="3">
        <v>0.45950000000000008</v>
      </c>
      <c r="D40" s="3">
        <v>1.3134999999999997</v>
      </c>
      <c r="E40" s="3"/>
      <c r="F40" s="3">
        <v>0.56574999999999998</v>
      </c>
      <c r="G40" s="3">
        <v>0.48425000000000001</v>
      </c>
      <c r="H40" s="3">
        <v>0.65674999999999983</v>
      </c>
      <c r="I40" s="3">
        <v>0.45399999999999996</v>
      </c>
      <c r="J40" s="3"/>
      <c r="K40" s="3">
        <v>0.53425</v>
      </c>
      <c r="L40" s="3"/>
      <c r="M40" s="3">
        <v>0.67574999999999996</v>
      </c>
      <c r="N40" s="3">
        <v>0.47699999999999998</v>
      </c>
      <c r="O40" s="3">
        <v>0.48475000000000001</v>
      </c>
      <c r="P40" s="3"/>
      <c r="Q40" s="3"/>
      <c r="R40" s="3"/>
      <c r="S40" s="3"/>
      <c r="T40" s="3">
        <v>0.37225000000000003</v>
      </c>
      <c r="U40" s="6">
        <v>1.0089999999999999</v>
      </c>
      <c r="V40" s="6">
        <v>0.42249999999999993</v>
      </c>
      <c r="W40" s="6">
        <v>0.89149999999999996</v>
      </c>
      <c r="X40" s="6"/>
      <c r="Y40" s="6">
        <v>0.55025000000000002</v>
      </c>
      <c r="Z40" s="6">
        <v>0.5</v>
      </c>
      <c r="AA40" s="6">
        <v>0.85950000000000004</v>
      </c>
      <c r="AB40" s="6">
        <v>0.48399999999999999</v>
      </c>
      <c r="AC40" s="6">
        <v>0.60875000000000001</v>
      </c>
      <c r="AD40" s="6">
        <v>1.0854999999999999</v>
      </c>
      <c r="AE40" s="6">
        <v>0.78274999999999995</v>
      </c>
      <c r="AF40" s="6">
        <v>0.85399999999999987</v>
      </c>
      <c r="AG40" s="6">
        <v>0.41349999999999998</v>
      </c>
      <c r="AH40" s="6">
        <v>0.70699999999999985</v>
      </c>
    </row>
    <row r="41" spans="1:59" x14ac:dyDescent="0.2">
      <c r="A41" s="21"/>
      <c r="B41" s="3" t="s">
        <v>33</v>
      </c>
      <c r="C41" s="3">
        <v>3.1587499999999995</v>
      </c>
      <c r="D41" s="3">
        <v>4.6075000000000008</v>
      </c>
      <c r="E41" s="3">
        <v>3.1545000000000001</v>
      </c>
      <c r="F41" s="3">
        <v>2.9732500000000002</v>
      </c>
      <c r="G41" s="3">
        <v>3.1709999999999994</v>
      </c>
      <c r="H41" s="3">
        <v>3.5605000000000002</v>
      </c>
      <c r="I41" s="3">
        <v>2.7934999999999999</v>
      </c>
      <c r="J41" s="3">
        <v>1.8087500000000003</v>
      </c>
      <c r="K41" s="3">
        <v>3.3447499999999999</v>
      </c>
      <c r="L41" s="3">
        <v>2.988</v>
      </c>
      <c r="M41" s="3">
        <v>3.3647500000000004</v>
      </c>
      <c r="N41" s="3">
        <v>2.7162500000000001</v>
      </c>
      <c r="O41" s="3">
        <v>3.33725</v>
      </c>
      <c r="P41" s="3">
        <v>1.704</v>
      </c>
      <c r="Q41" s="3">
        <v>4.6589999999999998</v>
      </c>
      <c r="R41" s="3">
        <v>2.2394999999999996</v>
      </c>
      <c r="S41" s="3">
        <v>2.0825</v>
      </c>
      <c r="T41" s="3">
        <v>2.4882500000000003</v>
      </c>
      <c r="U41" s="6">
        <v>4.4172499999999992</v>
      </c>
      <c r="V41" s="6">
        <v>3.1572499999999994</v>
      </c>
      <c r="W41" s="6">
        <v>3.1344999999999996</v>
      </c>
      <c r="X41" s="6">
        <v>2.1277499999999998</v>
      </c>
      <c r="Y41" s="6">
        <v>2.9092500000000001</v>
      </c>
      <c r="Z41" s="6">
        <v>2.5749999999999997</v>
      </c>
      <c r="AA41" s="6">
        <v>3.5757499999999998</v>
      </c>
      <c r="AB41" s="6">
        <v>3.3244999999999996</v>
      </c>
      <c r="AC41" s="6">
        <v>3.4794999999999998</v>
      </c>
      <c r="AD41" s="6">
        <v>3.8367499999999999</v>
      </c>
      <c r="AE41" s="6">
        <v>2.6147499999999999</v>
      </c>
      <c r="AF41" s="6">
        <v>3.0359999999999996</v>
      </c>
      <c r="AG41" s="6">
        <v>2.6702499999999998</v>
      </c>
      <c r="AH41" s="6">
        <v>3.7925</v>
      </c>
    </row>
    <row r="42" spans="1:59" x14ac:dyDescent="0.2">
      <c r="A42" s="21" t="s">
        <v>41</v>
      </c>
      <c r="B42" s="3" t="s">
        <v>43</v>
      </c>
      <c r="C42" s="3">
        <v>1.1252500000000001</v>
      </c>
      <c r="D42" s="3">
        <v>1.5332499999999998</v>
      </c>
      <c r="E42" s="3"/>
      <c r="F42" s="3">
        <v>1.0922499999999999</v>
      </c>
      <c r="G42" s="3">
        <v>1.3557500000000002</v>
      </c>
      <c r="H42" s="3">
        <v>1.07325</v>
      </c>
      <c r="I42" s="3">
        <v>0.96074999999999999</v>
      </c>
      <c r="J42" s="3"/>
      <c r="K42" s="3">
        <v>0.79825000000000002</v>
      </c>
      <c r="L42" s="3"/>
      <c r="M42" s="3">
        <v>0.91750000000000009</v>
      </c>
      <c r="N42" s="3">
        <v>0.96225000000000005</v>
      </c>
      <c r="O42" s="3">
        <v>0.66474999999999984</v>
      </c>
      <c r="P42" s="3"/>
      <c r="Q42" s="3"/>
      <c r="R42" s="3"/>
      <c r="S42" s="3">
        <v>0.78674999999999995</v>
      </c>
      <c r="T42" s="3">
        <v>0.96599999999999997</v>
      </c>
      <c r="U42" s="6">
        <v>1.0222500000000001</v>
      </c>
      <c r="V42" s="6"/>
      <c r="W42" s="6">
        <v>0.65049999999999997</v>
      </c>
      <c r="X42" s="6"/>
      <c r="Y42" s="6"/>
      <c r="Z42" s="6">
        <v>0.66325000000000001</v>
      </c>
      <c r="AA42" s="6">
        <v>1.1769999999999998</v>
      </c>
      <c r="AB42" s="6">
        <v>1.14425</v>
      </c>
      <c r="AC42" s="6">
        <v>0.90274999999999994</v>
      </c>
      <c r="AD42" s="6">
        <v>1.0177499999999999</v>
      </c>
      <c r="AE42" s="6">
        <v>0.4</v>
      </c>
      <c r="AF42" s="6">
        <v>0.46575</v>
      </c>
      <c r="AG42" s="6">
        <v>0.48299999999999998</v>
      </c>
      <c r="AH42" s="6">
        <v>0.82374999999999998</v>
      </c>
    </row>
    <row r="43" spans="1:59" x14ac:dyDescent="0.2">
      <c r="A43" s="21"/>
      <c r="B43" s="3" t="s">
        <v>44</v>
      </c>
      <c r="C43" s="3">
        <v>7.7314999999999996</v>
      </c>
      <c r="D43" s="3">
        <v>11.172000000000001</v>
      </c>
      <c r="E43" s="3">
        <v>2.1567500000000002</v>
      </c>
      <c r="F43" s="3">
        <v>7.6467500000000008</v>
      </c>
      <c r="G43" s="3">
        <v>7.5229999999999988</v>
      </c>
      <c r="H43" s="3">
        <v>8.65625</v>
      </c>
      <c r="I43" s="3">
        <v>5.6112499999999992</v>
      </c>
      <c r="J43" s="3"/>
      <c r="K43" s="3">
        <v>4.0149999999999997</v>
      </c>
      <c r="L43" s="3">
        <v>1.6579999999999997</v>
      </c>
      <c r="M43" s="3">
        <v>4.6437499999999998</v>
      </c>
      <c r="N43" s="3">
        <v>6.9012500000000001</v>
      </c>
      <c r="O43" s="3">
        <v>3.4994999999999998</v>
      </c>
      <c r="P43" s="3">
        <v>1.5225</v>
      </c>
      <c r="Q43" s="3">
        <v>0.92249999999999988</v>
      </c>
      <c r="R43" s="3">
        <v>2.8344999999999998</v>
      </c>
      <c r="S43" s="3">
        <v>4.7277500000000003</v>
      </c>
      <c r="T43" s="3">
        <v>6.528249999999999</v>
      </c>
      <c r="U43" s="6">
        <v>8.2264999999999997</v>
      </c>
      <c r="V43" s="6">
        <v>4.6087499999999997</v>
      </c>
      <c r="W43" s="6">
        <v>5.5365000000000002</v>
      </c>
      <c r="X43" s="6">
        <v>4.4427500000000002</v>
      </c>
      <c r="Y43" s="6">
        <v>5.29575</v>
      </c>
      <c r="Z43" s="6">
        <v>5.3559999999999999</v>
      </c>
      <c r="AA43" s="6">
        <v>8.1197499999999998</v>
      </c>
      <c r="AB43" s="6">
        <v>8.1777499999999996</v>
      </c>
      <c r="AC43" s="6">
        <v>6.4590000000000005</v>
      </c>
      <c r="AD43" s="6">
        <v>7.6572500000000003</v>
      </c>
      <c r="AE43" s="6">
        <v>2.5237499999999997</v>
      </c>
      <c r="AF43" s="6">
        <v>3.5215000000000001</v>
      </c>
      <c r="AG43" s="6">
        <v>4.9169999999999998</v>
      </c>
      <c r="AH43" s="6">
        <v>7.3695000000000013</v>
      </c>
    </row>
    <row r="44" spans="1:59" x14ac:dyDescent="0.2">
      <c r="A44" s="21"/>
      <c r="B44" s="3" t="s">
        <v>45</v>
      </c>
      <c r="C44" s="3">
        <v>9.2430000000000003</v>
      </c>
      <c r="D44" s="3">
        <v>11.837249999999999</v>
      </c>
      <c r="E44" s="3">
        <v>2.8965000000000001</v>
      </c>
      <c r="F44" s="3">
        <v>7.5672500000000005</v>
      </c>
      <c r="G44" s="3">
        <v>6.9065000000000003</v>
      </c>
      <c r="H44" s="3">
        <v>9.7702500000000008</v>
      </c>
      <c r="I44" s="3">
        <v>5.7282500000000001</v>
      </c>
      <c r="J44" s="3">
        <v>1.9182500000000002</v>
      </c>
      <c r="K44" s="3">
        <v>5.266</v>
      </c>
      <c r="L44" s="3">
        <v>2.3897499999999998</v>
      </c>
      <c r="M44" s="3">
        <v>5.1950000000000003</v>
      </c>
      <c r="N44" s="3">
        <v>7.1607500000000002</v>
      </c>
      <c r="O44" s="3">
        <v>4.21</v>
      </c>
      <c r="P44" s="3">
        <v>1.6697500000000001</v>
      </c>
      <c r="Q44" s="3">
        <v>1.46675</v>
      </c>
      <c r="R44" s="3">
        <v>3.363</v>
      </c>
      <c r="S44" s="3">
        <v>5.1885000000000003</v>
      </c>
      <c r="T44" s="3">
        <v>7.202</v>
      </c>
      <c r="U44" s="6">
        <v>11.04175</v>
      </c>
      <c r="V44" s="6">
        <v>3.9445000000000001</v>
      </c>
      <c r="W44" s="6">
        <v>5.9227499999999997</v>
      </c>
      <c r="X44" s="6">
        <v>3.7225000000000001</v>
      </c>
      <c r="Y44" s="6">
        <v>6.4522500000000012</v>
      </c>
      <c r="Z44" s="6">
        <v>6.4252500000000001</v>
      </c>
      <c r="AA44" s="6">
        <v>10.143749999999999</v>
      </c>
      <c r="AB44" s="6">
        <v>6.786249999999999</v>
      </c>
      <c r="AC44" s="6">
        <v>6.7329999999999997</v>
      </c>
      <c r="AD44" s="6">
        <v>7.4442499999999994</v>
      </c>
      <c r="AE44" s="6">
        <v>4.4194999999999993</v>
      </c>
      <c r="AF44" s="6">
        <v>5.4807499999999996</v>
      </c>
      <c r="AG44" s="6">
        <v>8.3357500000000009</v>
      </c>
      <c r="AH44" s="6">
        <v>11.62175</v>
      </c>
    </row>
    <row r="45" spans="1:59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59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59" x14ac:dyDescent="0.2">
      <c r="A47" s="1" t="s">
        <v>143</v>
      </c>
      <c r="B47" s="18" t="s">
        <v>208</v>
      </c>
      <c r="C47" s="18" t="s">
        <v>0</v>
      </c>
      <c r="D47" s="18" t="s">
        <v>1</v>
      </c>
      <c r="E47" s="18" t="s">
        <v>2</v>
      </c>
      <c r="F47" s="18" t="s">
        <v>3</v>
      </c>
      <c r="G47" s="18" t="s">
        <v>4</v>
      </c>
      <c r="H47" s="18" t="s">
        <v>5</v>
      </c>
      <c r="I47" s="18" t="s">
        <v>6</v>
      </c>
      <c r="J47" s="18" t="s">
        <v>7</v>
      </c>
      <c r="K47" s="18" t="s">
        <v>8</v>
      </c>
      <c r="L47" s="18" t="s">
        <v>9</v>
      </c>
      <c r="M47" s="18" t="s">
        <v>10</v>
      </c>
      <c r="N47" s="18" t="s">
        <v>11</v>
      </c>
      <c r="O47" s="18" t="s">
        <v>12</v>
      </c>
      <c r="P47" s="18" t="s">
        <v>13</v>
      </c>
      <c r="Q47" s="18" t="s">
        <v>14</v>
      </c>
      <c r="R47" s="18" t="s">
        <v>15</v>
      </c>
      <c r="S47" s="18" t="s">
        <v>16</v>
      </c>
      <c r="T47" s="18" t="s">
        <v>17</v>
      </c>
      <c r="U47" s="19" t="s">
        <v>46</v>
      </c>
      <c r="V47" s="19" t="s">
        <v>47</v>
      </c>
      <c r="W47" s="19" t="s">
        <v>48</v>
      </c>
      <c r="X47" s="19" t="s">
        <v>49</v>
      </c>
      <c r="Y47" s="19" t="s">
        <v>50</v>
      </c>
      <c r="Z47" s="19" t="s">
        <v>51</v>
      </c>
      <c r="AA47" s="19" t="s">
        <v>52</v>
      </c>
      <c r="AB47" s="19" t="s">
        <v>53</v>
      </c>
      <c r="AC47" s="19" t="s">
        <v>54</v>
      </c>
      <c r="AD47" s="19" t="s">
        <v>55</v>
      </c>
      <c r="AE47" s="19" t="s">
        <v>56</v>
      </c>
      <c r="AF47" s="19" t="s">
        <v>57</v>
      </c>
      <c r="AG47" s="19" t="s">
        <v>58</v>
      </c>
      <c r="AH47" s="19" t="s">
        <v>59</v>
      </c>
    </row>
    <row r="48" spans="1:59" x14ac:dyDescent="0.2">
      <c r="A48" s="22" t="s">
        <v>122</v>
      </c>
      <c r="B48" s="3" t="s">
        <v>18</v>
      </c>
      <c r="C48" s="3">
        <v>0.26774999999999999</v>
      </c>
      <c r="D48" s="3">
        <v>0.24374999999999999</v>
      </c>
      <c r="E48" s="3">
        <v>0.24325000000000002</v>
      </c>
      <c r="F48" s="3">
        <v>0.23824999999999996</v>
      </c>
      <c r="G48" s="3">
        <v>0.27925</v>
      </c>
      <c r="H48" s="3">
        <v>0.29349999999999998</v>
      </c>
      <c r="I48" s="3">
        <v>0.24174999999999999</v>
      </c>
      <c r="J48" s="3">
        <v>0.27400000000000002</v>
      </c>
      <c r="K48" s="3">
        <v>0.27100000000000002</v>
      </c>
      <c r="L48" s="3">
        <v>0.25224999999999997</v>
      </c>
      <c r="M48" s="3">
        <v>0.3145</v>
      </c>
      <c r="N48" s="3">
        <v>0.29299999999999998</v>
      </c>
      <c r="O48" s="3">
        <v>0.28025</v>
      </c>
      <c r="P48" s="3"/>
      <c r="Q48" s="3"/>
      <c r="R48" s="3"/>
      <c r="S48" s="3"/>
      <c r="T48" s="3"/>
      <c r="U48" s="6">
        <v>0.20524999999999996</v>
      </c>
      <c r="V48" s="6">
        <v>0.25674999999999998</v>
      </c>
      <c r="W48" s="6">
        <v>0.23050000000000001</v>
      </c>
      <c r="X48" s="6">
        <v>0.2525</v>
      </c>
      <c r="Y48" s="6">
        <v>0.28749999999999998</v>
      </c>
      <c r="Z48" s="6">
        <v>0.27825</v>
      </c>
      <c r="AA48" s="6">
        <v>0.23349999999999999</v>
      </c>
      <c r="AB48" s="6">
        <v>0.25524999999999998</v>
      </c>
      <c r="AC48" s="6">
        <v>0.28549999999999992</v>
      </c>
      <c r="AD48" s="6">
        <v>0.20575000000000002</v>
      </c>
      <c r="AE48" s="6">
        <v>0.31574999999999998</v>
      </c>
      <c r="AF48" s="6"/>
      <c r="AG48" s="6"/>
      <c r="AH48" s="6"/>
    </row>
    <row r="49" spans="1:34" x14ac:dyDescent="0.2">
      <c r="A49" s="22"/>
      <c r="B49" s="3" t="s">
        <v>21</v>
      </c>
      <c r="C49" s="3">
        <v>0.20124999999999998</v>
      </c>
      <c r="D49" s="3"/>
      <c r="E49" s="3"/>
      <c r="F49" s="3">
        <v>0.21124999999999997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6">
        <v>0.20774999999999993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x14ac:dyDescent="0.2">
      <c r="A50" s="22"/>
      <c r="B50" s="3" t="s">
        <v>23</v>
      </c>
      <c r="C50" s="3"/>
      <c r="D50" s="3">
        <v>4.0945</v>
      </c>
      <c r="E50" s="3">
        <v>3.3472499999999994</v>
      </c>
      <c r="F50" s="3">
        <v>3.5069999999999997</v>
      </c>
      <c r="G50" s="3">
        <v>3.3697499999999998</v>
      </c>
      <c r="H50" s="3">
        <v>3.0137499999999995</v>
      </c>
      <c r="I50" s="3">
        <v>2.3605</v>
      </c>
      <c r="J50" s="3">
        <v>3.9537500000000003</v>
      </c>
      <c r="K50" s="3">
        <v>3.3325</v>
      </c>
      <c r="L50" s="3">
        <v>3.3600000000000003</v>
      </c>
      <c r="M50" s="3">
        <v>3.8647499999999999</v>
      </c>
      <c r="N50" s="3">
        <v>3.6880000000000002</v>
      </c>
      <c r="O50" s="3">
        <v>3.2559999999999989</v>
      </c>
      <c r="P50" s="3">
        <v>3.6175000000000006</v>
      </c>
      <c r="Q50" s="3">
        <v>4.24</v>
      </c>
      <c r="R50" s="3">
        <v>3.1760000000000002</v>
      </c>
      <c r="S50" s="3">
        <v>5.2525000000000004</v>
      </c>
      <c r="T50" s="3">
        <v>3.5169999999999999</v>
      </c>
      <c r="U50" s="6">
        <v>3.4822500000000001</v>
      </c>
      <c r="V50" s="6">
        <v>2.5867499999999999</v>
      </c>
      <c r="W50" s="6">
        <v>3.26675</v>
      </c>
      <c r="X50" s="6">
        <v>3.9649999999999999</v>
      </c>
      <c r="Y50" s="6">
        <v>3.37</v>
      </c>
      <c r="Z50" s="6">
        <v>4.0469999999999997</v>
      </c>
      <c r="AA50" s="6">
        <v>3.9049999999999994</v>
      </c>
      <c r="AB50" s="6">
        <v>3.8805000000000001</v>
      </c>
      <c r="AC50" s="6">
        <v>2.8217499999999998</v>
      </c>
      <c r="AD50" s="6">
        <v>3.6082499999999995</v>
      </c>
      <c r="AE50" s="6">
        <v>3.7185000000000001</v>
      </c>
      <c r="AF50" s="6">
        <v>2.7792500000000002</v>
      </c>
      <c r="AG50" s="6">
        <v>3.4637500000000001</v>
      </c>
      <c r="AH50" s="6">
        <v>3.536</v>
      </c>
    </row>
    <row r="51" spans="1:34" x14ac:dyDescent="0.2">
      <c r="A51" s="22"/>
      <c r="B51" s="3" t="s">
        <v>25</v>
      </c>
      <c r="C51" s="3">
        <v>1.2922499999999999</v>
      </c>
      <c r="D51" s="3">
        <v>1.6164999999999998</v>
      </c>
      <c r="E51" s="3">
        <v>1.3224999999999998</v>
      </c>
      <c r="F51" s="3">
        <v>1.04725</v>
      </c>
      <c r="G51" s="3">
        <v>1.2219999999999998</v>
      </c>
      <c r="H51" s="3">
        <v>1.0042500000000001</v>
      </c>
      <c r="I51" s="3">
        <v>0.82550000000000001</v>
      </c>
      <c r="J51" s="3">
        <v>1.2522500000000001</v>
      </c>
      <c r="K51" s="3">
        <v>1.1212500000000001</v>
      </c>
      <c r="L51" s="3">
        <v>1.1399999999999999</v>
      </c>
      <c r="M51" s="3">
        <v>1.4344999999999999</v>
      </c>
      <c r="N51" s="3">
        <v>1.0455000000000003</v>
      </c>
      <c r="O51" s="3">
        <v>1.0687500000000001</v>
      </c>
      <c r="P51" s="3">
        <v>1.4247499999999997</v>
      </c>
      <c r="Q51" s="3">
        <v>1.6302499999999998</v>
      </c>
      <c r="R51" s="3">
        <v>0.92149999999999987</v>
      </c>
      <c r="S51" s="3">
        <v>2</v>
      </c>
      <c r="T51" s="3">
        <v>0.9867499999999999</v>
      </c>
      <c r="U51" s="6">
        <v>1.4757499999999997</v>
      </c>
      <c r="V51" s="6">
        <v>0.90349999999999997</v>
      </c>
      <c r="W51" s="6">
        <v>0.95974999999999999</v>
      </c>
      <c r="X51" s="6">
        <v>1.4039999999999999</v>
      </c>
      <c r="Y51" s="6">
        <v>1.2722499999999999</v>
      </c>
      <c r="Z51" s="6">
        <v>1.3625</v>
      </c>
      <c r="AA51" s="6">
        <v>1.5545</v>
      </c>
      <c r="AB51" s="6">
        <v>1.1755</v>
      </c>
      <c r="AC51" s="6">
        <v>1.0580000000000001</v>
      </c>
      <c r="AD51" s="6">
        <v>1.22875</v>
      </c>
      <c r="AE51" s="6">
        <v>1.1565000000000001</v>
      </c>
      <c r="AF51" s="6">
        <v>0.84325000000000006</v>
      </c>
      <c r="AG51" s="6">
        <v>1.59</v>
      </c>
      <c r="AH51" s="6">
        <v>0.98874999999999991</v>
      </c>
    </row>
    <row r="52" spans="1:34" x14ac:dyDescent="0.2">
      <c r="A52" s="22" t="s">
        <v>28</v>
      </c>
      <c r="B52" s="3" t="s">
        <v>30</v>
      </c>
      <c r="C52" s="3">
        <v>3.9117500000000001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x14ac:dyDescent="0.2">
      <c r="A53" s="22"/>
      <c r="B53" s="3" t="s">
        <v>32</v>
      </c>
      <c r="C53" s="3"/>
      <c r="D53" s="3">
        <v>0.75675000000000003</v>
      </c>
      <c r="E53" s="3"/>
      <c r="F53" s="3"/>
      <c r="G53" s="3"/>
      <c r="H53" s="3"/>
      <c r="I53" s="3"/>
      <c r="J53" s="3"/>
      <c r="K53" s="3"/>
      <c r="L53" s="3"/>
      <c r="M53" s="3">
        <v>0.39324999999999999</v>
      </c>
      <c r="N53" s="3"/>
      <c r="O53" s="3"/>
      <c r="P53" s="3"/>
      <c r="Q53" s="3"/>
      <c r="R53" s="3"/>
      <c r="S53" s="3"/>
      <c r="T53" s="3"/>
      <c r="U53" s="5">
        <v>0.38674999999999998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>
        <v>0.32424999999999998</v>
      </c>
      <c r="AH53" s="5"/>
    </row>
    <row r="54" spans="1:34" x14ac:dyDescent="0.2">
      <c r="A54" s="22"/>
      <c r="B54" s="3" t="s">
        <v>33</v>
      </c>
      <c r="C54" s="3">
        <v>1.26275</v>
      </c>
      <c r="D54" s="3">
        <v>1.331</v>
      </c>
      <c r="E54" s="3">
        <v>1.1937500000000001</v>
      </c>
      <c r="F54" s="3">
        <v>1.0054999999999998</v>
      </c>
      <c r="G54" s="3">
        <v>1.28725</v>
      </c>
      <c r="H54" s="3">
        <v>0.96824999999999994</v>
      </c>
      <c r="I54" s="3">
        <v>0.80625000000000002</v>
      </c>
      <c r="J54" s="3">
        <v>0.99499999999999988</v>
      </c>
      <c r="K54" s="3">
        <v>1.0197499999999999</v>
      </c>
      <c r="L54" s="3">
        <v>1.10825</v>
      </c>
      <c r="M54" s="3">
        <v>1.2602500000000001</v>
      </c>
      <c r="N54" s="3">
        <v>1.10425</v>
      </c>
      <c r="O54" s="3">
        <v>1.046</v>
      </c>
      <c r="P54" s="3">
        <v>0.86650000000000005</v>
      </c>
      <c r="Q54" s="3"/>
      <c r="R54" s="3">
        <v>0.67725000000000002</v>
      </c>
      <c r="S54" s="3">
        <v>1.1759999999999999</v>
      </c>
      <c r="T54" s="3">
        <v>0.77674999999999994</v>
      </c>
      <c r="U54" s="5">
        <v>1.06725</v>
      </c>
      <c r="V54" s="5">
        <v>0.89824999999999988</v>
      </c>
      <c r="W54" s="5">
        <v>1.1174999999999999</v>
      </c>
      <c r="X54" s="5">
        <v>1.1535</v>
      </c>
      <c r="Y54" s="5">
        <v>1.2350000000000001</v>
      </c>
      <c r="Z54" s="5">
        <v>1.2542499999999999</v>
      </c>
      <c r="AA54" s="5">
        <v>1.45425</v>
      </c>
      <c r="AB54" s="5">
        <v>1.10575</v>
      </c>
      <c r="AC54" s="5">
        <v>1.0289999999999999</v>
      </c>
      <c r="AD54" s="5">
        <v>1.00875</v>
      </c>
      <c r="AE54" s="5">
        <v>1.1517500000000001</v>
      </c>
      <c r="AF54" s="5"/>
      <c r="AG54" s="5">
        <v>1.1287499999999999</v>
      </c>
      <c r="AH54" s="5"/>
    </row>
    <row r="55" spans="1:34" x14ac:dyDescent="0.2">
      <c r="A55" s="22" t="s">
        <v>41</v>
      </c>
      <c r="B55" s="3" t="s">
        <v>44</v>
      </c>
      <c r="C55" s="3">
        <v>1.984</v>
      </c>
      <c r="D55" s="3">
        <v>3.3905000000000003</v>
      </c>
      <c r="E55" s="3">
        <v>1.9727499999999998</v>
      </c>
      <c r="F55" s="3">
        <v>2.4867500000000002</v>
      </c>
      <c r="G55" s="3">
        <v>2.8450000000000002</v>
      </c>
      <c r="H55" s="3">
        <v>2.49675</v>
      </c>
      <c r="I55" s="3">
        <v>1.78975</v>
      </c>
      <c r="J55" s="3">
        <v>2.6977499999999996</v>
      </c>
      <c r="K55" s="3">
        <v>2.0470000000000002</v>
      </c>
      <c r="L55" s="3">
        <v>2.7570000000000001</v>
      </c>
      <c r="M55" s="3">
        <v>3.3897500000000003</v>
      </c>
      <c r="N55" s="3">
        <v>2.52075</v>
      </c>
      <c r="O55" s="3">
        <v>2.4695</v>
      </c>
      <c r="P55" s="3">
        <v>1.5235000000000001</v>
      </c>
      <c r="Q55" s="3"/>
      <c r="R55" s="3">
        <v>0.70899999999999996</v>
      </c>
      <c r="S55" s="3">
        <v>3.0539999999999998</v>
      </c>
      <c r="T55" s="3">
        <v>0.77300000000000002</v>
      </c>
      <c r="U55" s="5">
        <v>0.47850000000000004</v>
      </c>
      <c r="V55" s="5">
        <v>1.93825</v>
      </c>
      <c r="W55" s="5">
        <v>2.4184999999999999</v>
      </c>
      <c r="X55" s="5">
        <v>2.5510000000000002</v>
      </c>
      <c r="Y55" s="5">
        <v>2.9459999999999997</v>
      </c>
      <c r="Z55" s="5">
        <v>2.7657500000000002</v>
      </c>
      <c r="AA55" s="5">
        <v>3.3452500000000001</v>
      </c>
      <c r="AB55" s="5">
        <v>2.12</v>
      </c>
      <c r="AC55" s="5">
        <v>2.66675</v>
      </c>
      <c r="AD55" s="5">
        <v>1.4637500000000001</v>
      </c>
      <c r="AE55" s="5">
        <v>2.8247499999999999</v>
      </c>
      <c r="AF55" s="5"/>
      <c r="AG55" s="5">
        <v>2.8285</v>
      </c>
      <c r="AH55" s="5"/>
    </row>
    <row r="56" spans="1:34" x14ac:dyDescent="0.2">
      <c r="A56" s="22"/>
      <c r="B56" s="3" t="s">
        <v>45</v>
      </c>
      <c r="C56" s="3">
        <v>6.0967500000000001</v>
      </c>
      <c r="D56" s="3">
        <v>9.7865000000000002</v>
      </c>
      <c r="E56" s="3">
        <v>6.2292499999999995</v>
      </c>
      <c r="F56" s="3">
        <v>6.4177499999999998</v>
      </c>
      <c r="G56" s="3">
        <v>7.1404999999999994</v>
      </c>
      <c r="H56" s="3">
        <v>6.019750000000001</v>
      </c>
      <c r="I56" s="3">
        <v>4.3544999999999998</v>
      </c>
      <c r="J56" s="3">
        <v>7.5502500000000001</v>
      </c>
      <c r="K56" s="3">
        <v>5.74925</v>
      </c>
      <c r="L56" s="3">
        <v>7.0549999999999997</v>
      </c>
      <c r="M56" s="3">
        <v>8.4082500000000007</v>
      </c>
      <c r="N56" s="3">
        <v>7.12425</v>
      </c>
      <c r="O56" s="3">
        <v>6.5789999999999988</v>
      </c>
      <c r="P56" s="3">
        <v>7.1319999999999997</v>
      </c>
      <c r="Q56" s="3">
        <v>0.74875000000000014</v>
      </c>
      <c r="R56" s="3">
        <v>2.4712499999999999</v>
      </c>
      <c r="S56" s="3">
        <v>8.5685000000000002</v>
      </c>
      <c r="T56" s="3">
        <v>4.3494999999999999</v>
      </c>
      <c r="U56" s="5">
        <v>1.2982499999999997</v>
      </c>
      <c r="V56" s="5">
        <v>4.8274999999999997</v>
      </c>
      <c r="W56" s="5">
        <v>6.9059999999999997</v>
      </c>
      <c r="X56" s="5">
        <v>6.9582499999999987</v>
      </c>
      <c r="Y56" s="5">
        <v>7.54725</v>
      </c>
      <c r="Z56" s="5">
        <v>7.5395000000000003</v>
      </c>
      <c r="AA56" s="5">
        <v>9.2889999999999997</v>
      </c>
      <c r="AB56" s="5">
        <v>6.5617500000000009</v>
      </c>
      <c r="AC56" s="5">
        <v>6.0880000000000001</v>
      </c>
      <c r="AD56" s="5">
        <v>4.6985000000000001</v>
      </c>
      <c r="AE56" s="5">
        <v>7.8347499999999997</v>
      </c>
      <c r="AF56" s="5">
        <v>3.3367499999999999</v>
      </c>
      <c r="AG56" s="5">
        <v>9.5050000000000008</v>
      </c>
      <c r="AH56" s="5">
        <v>1.3445</v>
      </c>
    </row>
  </sheetData>
  <mergeCells count="100">
    <mergeCell ref="AX15:AX21"/>
    <mergeCell ref="AX23:AX27"/>
    <mergeCell ref="AX29:AX32"/>
    <mergeCell ref="AX33:AY33"/>
    <mergeCell ref="AX14:AY14"/>
    <mergeCell ref="AX22:AY22"/>
    <mergeCell ref="AX34:AY34"/>
    <mergeCell ref="BB25:BC25"/>
    <mergeCell ref="BE25:BF25"/>
    <mergeCell ref="BB26:BC26"/>
    <mergeCell ref="BE26:BF26"/>
    <mergeCell ref="AX28:AY28"/>
    <mergeCell ref="AX35:AY35"/>
    <mergeCell ref="BB16:BC16"/>
    <mergeCell ref="BE31:BF31"/>
    <mergeCell ref="BB32:BC32"/>
    <mergeCell ref="BE32:BF32"/>
    <mergeCell ref="BB33:BC33"/>
    <mergeCell ref="BE33:BF33"/>
    <mergeCell ref="BB34:BC34"/>
    <mergeCell ref="BE34:BF34"/>
    <mergeCell ref="BB27:BC27"/>
    <mergeCell ref="BE27:BF27"/>
    <mergeCell ref="BB28:BC28"/>
    <mergeCell ref="BE28:BF28"/>
    <mergeCell ref="BB29:BC29"/>
    <mergeCell ref="BE29:BF29"/>
    <mergeCell ref="BE24:BF24"/>
    <mergeCell ref="BB14:BC14"/>
    <mergeCell ref="BE14:BF14"/>
    <mergeCell ref="BB15:BC15"/>
    <mergeCell ref="BE15:BF15"/>
    <mergeCell ref="BB17:BC17"/>
    <mergeCell ref="BE17:BF17"/>
    <mergeCell ref="BE16:BF16"/>
    <mergeCell ref="BE11:BF11"/>
    <mergeCell ref="BB12:BC12"/>
    <mergeCell ref="BE12:BF12"/>
    <mergeCell ref="BB13:BC13"/>
    <mergeCell ref="BE13:BF13"/>
    <mergeCell ref="BB11:BC11"/>
    <mergeCell ref="BE9:BF9"/>
    <mergeCell ref="BB10:BC10"/>
    <mergeCell ref="BE10:BF10"/>
    <mergeCell ref="BE7:BF7"/>
    <mergeCell ref="BE8:BF8"/>
    <mergeCell ref="BB9:BC9"/>
    <mergeCell ref="BE2:BG2"/>
    <mergeCell ref="BB3:BC3"/>
    <mergeCell ref="BE3:BF3"/>
    <mergeCell ref="BB7:BC7"/>
    <mergeCell ref="BB8:BC8"/>
    <mergeCell ref="BE4:BF4"/>
    <mergeCell ref="BE5:BF5"/>
    <mergeCell ref="BB6:BC6"/>
    <mergeCell ref="BE6:BF6"/>
    <mergeCell ref="BB5:BC5"/>
    <mergeCell ref="BB35:BC35"/>
    <mergeCell ref="BE35:BF35"/>
    <mergeCell ref="BB30:BC30"/>
    <mergeCell ref="BE30:BF30"/>
    <mergeCell ref="BB31:BC31"/>
    <mergeCell ref="BB24:BC24"/>
    <mergeCell ref="BB19:BC19"/>
    <mergeCell ref="BE19:BF19"/>
    <mergeCell ref="BB20:BC20"/>
    <mergeCell ref="BB18:BC18"/>
    <mergeCell ref="BE18:BF18"/>
    <mergeCell ref="BB23:BC23"/>
    <mergeCell ref="BE23:BF23"/>
    <mergeCell ref="BE20:BF20"/>
    <mergeCell ref="BB21:BC21"/>
    <mergeCell ref="BE21:BF21"/>
    <mergeCell ref="BB22:BC22"/>
    <mergeCell ref="BE22:BF22"/>
    <mergeCell ref="AK29:AK32"/>
    <mergeCell ref="AM2:AO2"/>
    <mergeCell ref="AP2:AR2"/>
    <mergeCell ref="AS2:AU2"/>
    <mergeCell ref="AK4:AK13"/>
    <mergeCell ref="AK15:AK22"/>
    <mergeCell ref="AK23:AK27"/>
    <mergeCell ref="AY2:AY3"/>
    <mergeCell ref="AX2:AX3"/>
    <mergeCell ref="BB4:BC4"/>
    <mergeCell ref="AZ2:BA2"/>
    <mergeCell ref="BB2:BD2"/>
    <mergeCell ref="AX4:AX13"/>
    <mergeCell ref="U2:AH2"/>
    <mergeCell ref="A42:A44"/>
    <mergeCell ref="A48:A51"/>
    <mergeCell ref="A52:A54"/>
    <mergeCell ref="A55:A56"/>
    <mergeCell ref="A2:T2"/>
    <mergeCell ref="A4:A13"/>
    <mergeCell ref="A14:A20"/>
    <mergeCell ref="A21:A25"/>
    <mergeCell ref="A26:A29"/>
    <mergeCell ref="A33:A38"/>
    <mergeCell ref="A39:A4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7260-A693-4726-BC39-980D032F9A63}">
  <dimension ref="A1:AL1178"/>
  <sheetViews>
    <sheetView tabSelected="1" topLeftCell="X1" workbookViewId="0">
      <selection activeCell="S1" sqref="S1"/>
    </sheetView>
  </sheetViews>
  <sheetFormatPr baseColWidth="10" defaultRowHeight="15" x14ac:dyDescent="0.2"/>
  <cols>
    <col min="1" max="1" width="17.5" style="37" customWidth="1"/>
    <col min="2" max="3" width="12.83203125" style="37" customWidth="1"/>
    <col min="4" max="24" width="10.83203125" style="37"/>
    <col min="25" max="25" width="14" style="37" customWidth="1"/>
    <col min="26" max="32" width="10.83203125" style="37"/>
    <col min="33" max="33" width="11" style="37" bestFit="1" customWidth="1"/>
    <col min="34" max="16384" width="10.83203125" style="37"/>
  </cols>
  <sheetData>
    <row r="1" spans="1:38" ht="19" x14ac:dyDescent="0.25">
      <c r="F1" s="37" t="s">
        <v>119</v>
      </c>
      <c r="L1" s="37" t="s">
        <v>204</v>
      </c>
      <c r="R1" s="37" t="s">
        <v>205</v>
      </c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8" ht="16" x14ac:dyDescent="0.2">
      <c r="A2" s="37" t="s">
        <v>119</v>
      </c>
      <c r="B2" s="39" t="s">
        <v>215</v>
      </c>
      <c r="C2" s="39" t="s">
        <v>214</v>
      </c>
      <c r="H2" s="36">
        <v>106</v>
      </c>
      <c r="I2" s="40"/>
      <c r="N2" s="41" t="s">
        <v>144</v>
      </c>
      <c r="O2" s="40"/>
      <c r="T2" s="41" t="s">
        <v>145</v>
      </c>
      <c r="U2" s="40"/>
      <c r="Y2" s="42"/>
      <c r="Z2" s="43" t="s">
        <v>119</v>
      </c>
      <c r="AA2" s="44"/>
      <c r="AB2" s="44"/>
      <c r="AC2" s="45"/>
      <c r="AD2" s="43" t="s">
        <v>204</v>
      </c>
      <c r="AE2" s="44"/>
      <c r="AF2" s="44"/>
      <c r="AG2" s="45"/>
      <c r="AH2" s="43" t="s">
        <v>205</v>
      </c>
      <c r="AI2" s="44"/>
      <c r="AJ2" s="44"/>
      <c r="AK2" s="45"/>
    </row>
    <row r="3" spans="1:38" x14ac:dyDescent="0.2">
      <c r="B3" s="46">
        <v>106</v>
      </c>
      <c r="C3" s="39">
        <v>0.05</v>
      </c>
      <c r="F3" s="47" t="s">
        <v>216</v>
      </c>
      <c r="G3" s="47" t="s">
        <v>217</v>
      </c>
      <c r="H3" s="39" t="s">
        <v>218</v>
      </c>
      <c r="I3" s="39" t="s">
        <v>219</v>
      </c>
      <c r="J3" s="39" t="s">
        <v>220</v>
      </c>
      <c r="L3" s="47" t="s">
        <v>216</v>
      </c>
      <c r="M3" s="47" t="s">
        <v>217</v>
      </c>
      <c r="N3" s="39" t="s">
        <v>218</v>
      </c>
      <c r="O3" s="39" t="s">
        <v>219</v>
      </c>
      <c r="P3" s="39" t="s">
        <v>220</v>
      </c>
      <c r="R3" s="47" t="s">
        <v>216</v>
      </c>
      <c r="S3" s="48" t="s">
        <v>217</v>
      </c>
      <c r="T3" s="49" t="s">
        <v>218</v>
      </c>
      <c r="U3" s="49" t="s">
        <v>219</v>
      </c>
      <c r="V3" s="49" t="s">
        <v>220</v>
      </c>
      <c r="Y3" s="50" t="s">
        <v>216</v>
      </c>
      <c r="Z3" s="51" t="s">
        <v>212</v>
      </c>
      <c r="AA3" s="39" t="s">
        <v>223</v>
      </c>
      <c r="AB3" s="50" t="s">
        <v>146</v>
      </c>
      <c r="AC3" s="50" t="s">
        <v>61</v>
      </c>
      <c r="AD3" s="52" t="s">
        <v>212</v>
      </c>
      <c r="AE3" s="39" t="s">
        <v>223</v>
      </c>
      <c r="AF3" s="50" t="s">
        <v>146</v>
      </c>
      <c r="AG3" s="50" t="s">
        <v>61</v>
      </c>
      <c r="AH3" s="53" t="s">
        <v>212</v>
      </c>
      <c r="AI3" s="39" t="s">
        <v>223</v>
      </c>
      <c r="AJ3" s="50" t="s">
        <v>146</v>
      </c>
      <c r="AK3" s="50" t="s">
        <v>61</v>
      </c>
      <c r="AL3" s="54"/>
    </row>
    <row r="4" spans="1:38" x14ac:dyDescent="0.2">
      <c r="B4" s="34">
        <v>246</v>
      </c>
      <c r="C4" s="35">
        <v>0.05</v>
      </c>
      <c r="F4" s="47" t="s">
        <v>147</v>
      </c>
      <c r="G4" s="47" t="s">
        <v>148</v>
      </c>
      <c r="H4" s="39">
        <v>0</v>
      </c>
      <c r="I4" s="39">
        <f t="shared" ref="I4:I37" si="0">(H4*5)/1000</f>
        <v>0</v>
      </c>
      <c r="J4" s="39">
        <f t="shared" ref="J4:J37" si="1">I4/$C$3</f>
        <v>0</v>
      </c>
      <c r="L4" s="47" t="s">
        <v>147</v>
      </c>
      <c r="M4" s="47" t="s">
        <v>148</v>
      </c>
      <c r="N4" s="39">
        <v>0</v>
      </c>
      <c r="O4" s="39">
        <f t="shared" ref="O4:O37" si="2">(N4*5)/1000</f>
        <v>0</v>
      </c>
      <c r="P4" s="39">
        <f t="shared" ref="P4:P37" si="3">O4/$C$37</f>
        <v>0</v>
      </c>
      <c r="R4" s="47" t="s">
        <v>147</v>
      </c>
      <c r="S4" s="47" t="s">
        <v>148</v>
      </c>
      <c r="T4" s="39">
        <v>0</v>
      </c>
      <c r="U4" s="39">
        <f t="shared" ref="U4:U37" si="4">((T4*5)/1000)*5</f>
        <v>0</v>
      </c>
      <c r="V4" s="39">
        <f t="shared" ref="V4:V37" si="5">U4/$C$41</f>
        <v>0</v>
      </c>
      <c r="Y4" s="55" t="s">
        <v>147</v>
      </c>
      <c r="Z4" s="56">
        <v>0</v>
      </c>
      <c r="AA4" s="57">
        <v>0</v>
      </c>
      <c r="AB4" s="57">
        <v>0</v>
      </c>
      <c r="AC4" s="58">
        <f t="shared" ref="AC4:AC43" si="6">(Z4*100)/$Z$43</f>
        <v>0</v>
      </c>
      <c r="AD4" s="59">
        <v>0</v>
      </c>
      <c r="AE4" s="57">
        <v>0</v>
      </c>
      <c r="AF4" s="57">
        <v>0</v>
      </c>
      <c r="AG4" s="60">
        <f t="shared" ref="AG4:AG43" si="7">(AD4*100)/$AD$43</f>
        <v>0</v>
      </c>
      <c r="AH4" s="61">
        <v>0</v>
      </c>
      <c r="AI4" s="57">
        <v>0</v>
      </c>
      <c r="AJ4" s="57">
        <v>0</v>
      </c>
      <c r="AK4" s="62">
        <f t="shared" ref="AK4:AK43" si="8">(AH4*100)/$AH$43</f>
        <v>0</v>
      </c>
    </row>
    <row r="5" spans="1:38" x14ac:dyDescent="0.2">
      <c r="B5" s="34">
        <v>198</v>
      </c>
      <c r="C5" s="35">
        <v>0.05</v>
      </c>
      <c r="F5" s="47" t="s">
        <v>18</v>
      </c>
      <c r="G5" s="63" t="s">
        <v>149</v>
      </c>
      <c r="H5" s="39">
        <v>0</v>
      </c>
      <c r="I5" s="39">
        <f t="shared" si="0"/>
        <v>0</v>
      </c>
      <c r="J5" s="39">
        <f t="shared" si="1"/>
        <v>0</v>
      </c>
      <c r="L5" s="47" t="s">
        <v>18</v>
      </c>
      <c r="M5" s="63" t="s">
        <v>149</v>
      </c>
      <c r="N5" s="39">
        <v>0</v>
      </c>
      <c r="O5" s="39">
        <f t="shared" si="2"/>
        <v>0</v>
      </c>
      <c r="P5" s="39">
        <f t="shared" si="3"/>
        <v>0</v>
      </c>
      <c r="R5" s="47" t="s">
        <v>18</v>
      </c>
      <c r="S5" s="63" t="s">
        <v>149</v>
      </c>
      <c r="T5" s="39">
        <v>0</v>
      </c>
      <c r="U5" s="39">
        <f t="shared" si="4"/>
        <v>0</v>
      </c>
      <c r="V5" s="39">
        <f t="shared" si="5"/>
        <v>0</v>
      </c>
      <c r="Y5" s="55" t="s">
        <v>18</v>
      </c>
      <c r="Z5" s="56">
        <v>0</v>
      </c>
      <c r="AA5" s="57">
        <v>0</v>
      </c>
      <c r="AB5" s="57">
        <v>0</v>
      </c>
      <c r="AC5" s="58">
        <f t="shared" si="6"/>
        <v>0</v>
      </c>
      <c r="AD5" s="59">
        <v>0</v>
      </c>
      <c r="AE5" s="57">
        <v>0</v>
      </c>
      <c r="AF5" s="57">
        <v>0</v>
      </c>
      <c r="AG5" s="60">
        <f t="shared" si="7"/>
        <v>0</v>
      </c>
      <c r="AH5" s="61">
        <v>0</v>
      </c>
      <c r="AI5" s="57">
        <v>0</v>
      </c>
      <c r="AJ5" s="57">
        <v>0</v>
      </c>
      <c r="AK5" s="62">
        <f t="shared" si="8"/>
        <v>0</v>
      </c>
    </row>
    <row r="6" spans="1:38" x14ac:dyDescent="0.2">
      <c r="B6" s="34">
        <v>84</v>
      </c>
      <c r="C6" s="35">
        <v>0.05</v>
      </c>
      <c r="F6" s="47" t="s">
        <v>150</v>
      </c>
      <c r="G6" s="63" t="s">
        <v>151</v>
      </c>
      <c r="H6" s="39">
        <v>0</v>
      </c>
      <c r="I6" s="39">
        <f t="shared" si="0"/>
        <v>0</v>
      </c>
      <c r="J6" s="39">
        <f t="shared" si="1"/>
        <v>0</v>
      </c>
      <c r="L6" s="47" t="s">
        <v>150</v>
      </c>
      <c r="M6" s="63" t="s">
        <v>151</v>
      </c>
      <c r="N6" s="39">
        <v>0</v>
      </c>
      <c r="O6" s="39">
        <f t="shared" si="2"/>
        <v>0</v>
      </c>
      <c r="P6" s="39">
        <f t="shared" si="3"/>
        <v>0</v>
      </c>
      <c r="R6" s="47" t="s">
        <v>150</v>
      </c>
      <c r="S6" s="63" t="s">
        <v>151</v>
      </c>
      <c r="T6" s="39">
        <v>0</v>
      </c>
      <c r="U6" s="39">
        <f t="shared" si="4"/>
        <v>0</v>
      </c>
      <c r="V6" s="39">
        <f t="shared" si="5"/>
        <v>0</v>
      </c>
      <c r="Y6" s="55" t="s">
        <v>150</v>
      </c>
      <c r="Z6" s="56">
        <v>0</v>
      </c>
      <c r="AA6" s="57">
        <v>0</v>
      </c>
      <c r="AB6" s="57">
        <v>0</v>
      </c>
      <c r="AC6" s="58">
        <f t="shared" si="6"/>
        <v>0</v>
      </c>
      <c r="AD6" s="59">
        <v>0</v>
      </c>
      <c r="AE6" s="57">
        <v>0</v>
      </c>
      <c r="AF6" s="57">
        <v>0</v>
      </c>
      <c r="AG6" s="60">
        <f t="shared" si="7"/>
        <v>0</v>
      </c>
      <c r="AH6" s="61">
        <v>0</v>
      </c>
      <c r="AI6" s="57">
        <v>0</v>
      </c>
      <c r="AJ6" s="57">
        <v>0</v>
      </c>
      <c r="AK6" s="62">
        <f t="shared" si="8"/>
        <v>0</v>
      </c>
    </row>
    <row r="7" spans="1:38" x14ac:dyDescent="0.2">
      <c r="B7" s="34">
        <v>119</v>
      </c>
      <c r="C7" s="35">
        <v>0.05</v>
      </c>
      <c r="F7" s="47" t="s">
        <v>152</v>
      </c>
      <c r="G7" s="63" t="s">
        <v>153</v>
      </c>
      <c r="H7" s="39">
        <v>0</v>
      </c>
      <c r="I7" s="39">
        <f t="shared" si="0"/>
        <v>0</v>
      </c>
      <c r="J7" s="39">
        <f t="shared" si="1"/>
        <v>0</v>
      </c>
      <c r="L7" s="47" t="s">
        <v>152</v>
      </c>
      <c r="M7" s="63" t="s">
        <v>153</v>
      </c>
      <c r="N7" s="39">
        <v>0</v>
      </c>
      <c r="O7" s="39">
        <f t="shared" si="2"/>
        <v>0</v>
      </c>
      <c r="P7" s="39">
        <f t="shared" si="3"/>
        <v>0</v>
      </c>
      <c r="R7" s="47" t="s">
        <v>152</v>
      </c>
      <c r="S7" s="63" t="s">
        <v>153</v>
      </c>
      <c r="T7" s="39">
        <v>0</v>
      </c>
      <c r="U7" s="39">
        <f t="shared" si="4"/>
        <v>0</v>
      </c>
      <c r="V7" s="39">
        <f t="shared" si="5"/>
        <v>0</v>
      </c>
      <c r="Y7" s="55" t="s">
        <v>152</v>
      </c>
      <c r="Z7" s="56">
        <v>0</v>
      </c>
      <c r="AA7" s="57">
        <v>0</v>
      </c>
      <c r="AB7" s="57">
        <v>0</v>
      </c>
      <c r="AC7" s="58">
        <f t="shared" si="6"/>
        <v>0</v>
      </c>
      <c r="AD7" s="59">
        <v>0</v>
      </c>
      <c r="AE7" s="57">
        <v>0</v>
      </c>
      <c r="AF7" s="57">
        <v>0</v>
      </c>
      <c r="AG7" s="60">
        <f t="shared" si="7"/>
        <v>0</v>
      </c>
      <c r="AH7" s="61">
        <v>0</v>
      </c>
      <c r="AI7" s="57">
        <v>0</v>
      </c>
      <c r="AJ7" s="57">
        <v>0</v>
      </c>
      <c r="AK7" s="62">
        <f t="shared" si="8"/>
        <v>0</v>
      </c>
    </row>
    <row r="8" spans="1:38" x14ac:dyDescent="0.2">
      <c r="B8" s="34">
        <v>47</v>
      </c>
      <c r="C8" s="35">
        <v>0.05</v>
      </c>
      <c r="F8" s="47" t="s">
        <v>19</v>
      </c>
      <c r="G8" s="63" t="s">
        <v>154</v>
      </c>
      <c r="H8" s="39">
        <v>0</v>
      </c>
      <c r="I8" s="39">
        <f t="shared" si="0"/>
        <v>0</v>
      </c>
      <c r="J8" s="39">
        <f t="shared" si="1"/>
        <v>0</v>
      </c>
      <c r="L8" s="47" t="s">
        <v>19</v>
      </c>
      <c r="M8" s="63" t="s">
        <v>154</v>
      </c>
      <c r="N8" s="39">
        <v>0.99</v>
      </c>
      <c r="O8" s="39">
        <f t="shared" si="2"/>
        <v>4.9500000000000004E-3</v>
      </c>
      <c r="P8" s="39">
        <f t="shared" si="3"/>
        <v>9.8999999999999616E-2</v>
      </c>
      <c r="R8" s="47" t="s">
        <v>19</v>
      </c>
      <c r="S8" s="63" t="s">
        <v>154</v>
      </c>
      <c r="T8" s="39">
        <v>0</v>
      </c>
      <c r="U8" s="39">
        <f t="shared" si="4"/>
        <v>0</v>
      </c>
      <c r="V8" s="39">
        <f t="shared" si="5"/>
        <v>0</v>
      </c>
      <c r="Y8" s="55" t="s">
        <v>19</v>
      </c>
      <c r="Z8" s="56">
        <f>AVERAGE(J958)</f>
        <v>0.43999999999999823</v>
      </c>
      <c r="AA8" s="57">
        <v>0.107</v>
      </c>
      <c r="AB8" s="57">
        <v>7.2999999999999995E-2</v>
      </c>
      <c r="AC8" s="58">
        <f t="shared" si="6"/>
        <v>2.1774771821433667</v>
      </c>
      <c r="AD8" s="59">
        <f>AVERAGE(P8)</f>
        <v>9.8999999999999616E-2</v>
      </c>
      <c r="AE8" s="57">
        <v>5.3999999999999999E-2</v>
      </c>
      <c r="AF8" s="57">
        <v>1.6E-2</v>
      </c>
      <c r="AG8" s="60">
        <f t="shared" si="7"/>
        <v>5.8048401030407981E-2</v>
      </c>
      <c r="AH8" s="61">
        <v>0</v>
      </c>
      <c r="AI8" s="57">
        <v>0</v>
      </c>
      <c r="AJ8" s="57">
        <v>0</v>
      </c>
      <c r="AK8" s="62">
        <f t="shared" si="8"/>
        <v>0</v>
      </c>
    </row>
    <row r="9" spans="1:38" x14ac:dyDescent="0.2">
      <c r="B9" s="34">
        <v>586</v>
      </c>
      <c r="C9" s="35">
        <v>0.05</v>
      </c>
      <c r="F9" s="64" t="s">
        <v>20</v>
      </c>
      <c r="G9" s="65" t="s">
        <v>155</v>
      </c>
      <c r="H9" s="66">
        <v>0</v>
      </c>
      <c r="I9" s="39">
        <f t="shared" si="0"/>
        <v>0</v>
      </c>
      <c r="J9" s="39">
        <f t="shared" si="1"/>
        <v>0</v>
      </c>
      <c r="L9" s="47" t="s">
        <v>20</v>
      </c>
      <c r="M9" s="65" t="s">
        <v>155</v>
      </c>
      <c r="N9" s="39">
        <v>1.53</v>
      </c>
      <c r="O9" s="39">
        <f t="shared" si="2"/>
        <v>7.6500000000000005E-3</v>
      </c>
      <c r="P9" s="39">
        <f t="shared" si="3"/>
        <v>0.15299999999999941</v>
      </c>
      <c r="R9" s="67" t="s">
        <v>20</v>
      </c>
      <c r="S9" s="65" t="s">
        <v>155</v>
      </c>
      <c r="T9" s="39">
        <v>0</v>
      </c>
      <c r="U9" s="39">
        <f t="shared" si="4"/>
        <v>0</v>
      </c>
      <c r="V9" s="39">
        <f t="shared" si="5"/>
        <v>0</v>
      </c>
      <c r="Y9" s="55" t="s">
        <v>20</v>
      </c>
      <c r="Z9" s="56">
        <v>0</v>
      </c>
      <c r="AA9" s="57">
        <v>0</v>
      </c>
      <c r="AB9" s="57">
        <v>0</v>
      </c>
      <c r="AC9" s="58">
        <f t="shared" si="6"/>
        <v>0</v>
      </c>
      <c r="AD9" s="59">
        <f>AVERAGE(P9)</f>
        <v>0.15299999999999941</v>
      </c>
      <c r="AE9" s="57">
        <v>9.4E-2</v>
      </c>
      <c r="AF9" s="57">
        <v>5.5E-2</v>
      </c>
      <c r="AG9" s="60">
        <f t="shared" si="7"/>
        <v>8.9711165228812353E-2</v>
      </c>
      <c r="AH9" s="61">
        <v>0</v>
      </c>
      <c r="AI9" s="57">
        <v>0</v>
      </c>
      <c r="AJ9" s="57">
        <v>0</v>
      </c>
      <c r="AK9" s="62">
        <f t="shared" si="8"/>
        <v>0</v>
      </c>
    </row>
    <row r="10" spans="1:38" x14ac:dyDescent="0.2">
      <c r="B10" s="34">
        <v>63</v>
      </c>
      <c r="C10" s="35">
        <v>0.05</v>
      </c>
      <c r="F10" s="47" t="s">
        <v>21</v>
      </c>
      <c r="G10" s="63" t="s">
        <v>156</v>
      </c>
      <c r="H10" s="39">
        <v>0</v>
      </c>
      <c r="I10" s="39">
        <f t="shared" si="0"/>
        <v>0</v>
      </c>
      <c r="J10" s="39">
        <f t="shared" si="1"/>
        <v>0</v>
      </c>
      <c r="L10" s="47" t="s">
        <v>21</v>
      </c>
      <c r="M10" s="63" t="s">
        <v>156</v>
      </c>
      <c r="N10" s="39">
        <v>70.47</v>
      </c>
      <c r="O10" s="39">
        <f t="shared" si="2"/>
        <v>0.35235</v>
      </c>
      <c r="P10" s="39">
        <f t="shared" si="3"/>
        <v>7.0469999999999722</v>
      </c>
      <c r="R10" s="47" t="s">
        <v>21</v>
      </c>
      <c r="S10" s="63" t="s">
        <v>156</v>
      </c>
      <c r="T10" s="39">
        <v>5.62</v>
      </c>
      <c r="U10" s="39">
        <f t="shared" si="4"/>
        <v>0.14050000000000001</v>
      </c>
      <c r="V10" s="39">
        <f t="shared" si="5"/>
        <v>2.8099999999999894</v>
      </c>
      <c r="Y10" s="55" t="s">
        <v>21</v>
      </c>
      <c r="Z10" s="56">
        <f>AVERAGE(J48,J86,J124,J162,J276,J428,J504,J580,J656,J694,J732,J770,J846,J922)</f>
        <v>0.3252857142857139</v>
      </c>
      <c r="AA10" s="57">
        <f>STDEV(J48,J86,J124,J162,J276,J428,J504,J580,J656,J694,J732,J770,J846,J922)</f>
        <v>0.34228809920466524</v>
      </c>
      <c r="AB10" s="57">
        <f>AA10/SQRT(COUNT(J48,J86,J124,J162,J276,J428,J504,J580,J656,J694,J732,J770,J846,J922))</f>
        <v>9.148034248528196E-2</v>
      </c>
      <c r="AC10" s="58">
        <f t="shared" si="6"/>
        <v>1.6097777739417078</v>
      </c>
      <c r="AD10" s="59">
        <f>AVERAGE(P10,P48,P86)</f>
        <v>4.5369999999999822</v>
      </c>
      <c r="AE10" s="57">
        <f>STDEV(P10,P48,P86)</f>
        <v>2.255811162309461</v>
      </c>
      <c r="AF10" s="57">
        <f>AE10/SQRT(COUNT(P10,P48,P86))</f>
        <v>1.30239318180033</v>
      </c>
      <c r="AG10" s="60">
        <f t="shared" si="7"/>
        <v>2.6602585401511214</v>
      </c>
      <c r="AH10" s="61">
        <f>AVERAGE(V10,V48,V86)</f>
        <v>2.3229999999999911</v>
      </c>
      <c r="AI10" s="57">
        <f>STDEV(V10,V48,V86)</f>
        <v>1.3055025852138273</v>
      </c>
      <c r="AJ10" s="57">
        <f>AI10/SQRT(COUNT(V10,V48,V86))</f>
        <v>0.75373226900095558</v>
      </c>
      <c r="AK10" s="62">
        <f t="shared" si="8"/>
        <v>0.99210826208798319</v>
      </c>
    </row>
    <row r="11" spans="1:38" x14ac:dyDescent="0.2">
      <c r="B11" s="34">
        <v>897</v>
      </c>
      <c r="C11" s="35">
        <v>0.05</v>
      </c>
      <c r="F11" s="47" t="s">
        <v>29</v>
      </c>
      <c r="G11" s="63" t="s">
        <v>157</v>
      </c>
      <c r="H11" s="39">
        <v>0</v>
      </c>
      <c r="I11" s="39">
        <f t="shared" si="0"/>
        <v>0</v>
      </c>
      <c r="J11" s="39">
        <f t="shared" si="1"/>
        <v>0</v>
      </c>
      <c r="L11" s="47" t="s">
        <v>29</v>
      </c>
      <c r="M11" s="63" t="s">
        <v>157</v>
      </c>
      <c r="N11" s="39">
        <v>1.49</v>
      </c>
      <c r="O11" s="39">
        <f t="shared" si="2"/>
        <v>7.45E-3</v>
      </c>
      <c r="P11" s="39">
        <f t="shared" si="3"/>
        <v>0.14899999999999941</v>
      </c>
      <c r="R11" s="47" t="s">
        <v>29</v>
      </c>
      <c r="S11" s="63" t="s">
        <v>157</v>
      </c>
      <c r="T11" s="39">
        <v>0</v>
      </c>
      <c r="U11" s="39">
        <f t="shared" si="4"/>
        <v>0</v>
      </c>
      <c r="V11" s="39">
        <f t="shared" si="5"/>
        <v>0</v>
      </c>
      <c r="Y11" s="55" t="s">
        <v>22</v>
      </c>
      <c r="Z11" s="56">
        <f>AVERAGE(J88,J164,J278,J506,J924,J962)</f>
        <v>0.21016666666666639</v>
      </c>
      <c r="AA11" s="57">
        <f>STDEV(J88,J164,J278,J506,J924,J962)</f>
        <v>6.0740156952930828E-2</v>
      </c>
      <c r="AB11" s="57">
        <f>AA11/SQRT(COUNT(J88,J164,J278,J506,J924,J962))</f>
        <v>2.4797065238540736E-2</v>
      </c>
      <c r="AC11" s="58">
        <f t="shared" si="6"/>
        <v>1.0400752752586335</v>
      </c>
      <c r="AD11" s="59">
        <f>AVERAGE(P12,P50,P88)</f>
        <v>0.996999999999996</v>
      </c>
      <c r="AE11" s="57">
        <f>STDEV(P12,P50,P88)</f>
        <v>0.73286219714213385</v>
      </c>
      <c r="AF11" s="57">
        <f>AE11/SQRT(COUNT(P12,P50,P88))</f>
        <v>0.42311818679891161</v>
      </c>
      <c r="AG11" s="60">
        <f t="shared" si="7"/>
        <v>0.5845884427001693</v>
      </c>
      <c r="AH11" s="61">
        <f>AVERAGE(V12,V50,V88)</f>
        <v>0.42933333333333162</v>
      </c>
      <c r="AI11" s="57">
        <f>STDEV(V12,V50,V88)</f>
        <v>0.12643707262244391</v>
      </c>
      <c r="AJ11" s="57">
        <f>AI11/SQRT(COUNT(V12,V50,V88))</f>
        <v>7.2998477914116261E-2</v>
      </c>
      <c r="AK11" s="62">
        <f t="shared" si="8"/>
        <v>0.18335994282814208</v>
      </c>
    </row>
    <row r="12" spans="1:38" x14ac:dyDescent="0.2">
      <c r="B12" s="34">
        <v>66</v>
      </c>
      <c r="C12" s="35">
        <v>0.05</v>
      </c>
      <c r="F12" s="47" t="s">
        <v>22</v>
      </c>
      <c r="G12" s="63" t="s">
        <v>158</v>
      </c>
      <c r="H12" s="39">
        <v>0</v>
      </c>
      <c r="I12" s="39">
        <f t="shared" si="0"/>
        <v>0</v>
      </c>
      <c r="J12" s="39">
        <f t="shared" si="1"/>
        <v>0</v>
      </c>
      <c r="L12" s="47" t="s">
        <v>22</v>
      </c>
      <c r="M12" s="63" t="s">
        <v>158</v>
      </c>
      <c r="N12" s="39">
        <v>18.350000000000001</v>
      </c>
      <c r="O12" s="39">
        <f t="shared" si="2"/>
        <v>9.1749999999999998E-2</v>
      </c>
      <c r="P12" s="39">
        <f t="shared" si="3"/>
        <v>1.8349999999999926</v>
      </c>
      <c r="R12" s="47" t="s">
        <v>22</v>
      </c>
      <c r="S12" s="63" t="s">
        <v>158</v>
      </c>
      <c r="T12" s="39">
        <v>0.73</v>
      </c>
      <c r="U12" s="39">
        <f t="shared" si="4"/>
        <v>1.8249999999999999E-2</v>
      </c>
      <c r="V12" s="39">
        <f t="shared" si="5"/>
        <v>0.36499999999999855</v>
      </c>
      <c r="Y12" s="55" t="s">
        <v>23</v>
      </c>
      <c r="Z12" s="56">
        <f>AVERAGE(J14,J52,J90,J128,J166,J204,J242,J280,J318,J356,J394,J432,J470,J508,J546,J584,J622,J660,J698,J736,J774,J812,J850,J888,J926,J964,J1002,J1040,J1078,J1116,J1154)</f>
        <v>2.2155483870967707</v>
      </c>
      <c r="AA12" s="57">
        <f>STDEV(J14,J52,J90,J128,J166,J204,J242,J280,J318,J356,J394,J432,J470,J508,J546,J584,J622,J660,J698,J736,J774,J812,J850,J888,J926,J964,J1002,J1040,J1078,J1116,J1154)</f>
        <v>3.2130401163457778</v>
      </c>
      <c r="AB12" s="57">
        <f>AA12/SQRT(COUNT(J14,J52,J90,J128,J166,J204,J242,J280,J318,J356,J394,J432,J470,J508,J546,J584,J622,J660,J698,J736,J774,J812,J850,J888,J926,J964,J1002,J1040,J1078,J1116,J1154))</f>
        <v>0.57707904052042747</v>
      </c>
      <c r="AC12" s="58">
        <f t="shared" si="6"/>
        <v>10.964331951904038</v>
      </c>
      <c r="AD12" s="59">
        <f>AVERAGE(P14,P52,P90)</f>
        <v>26.07266666666656</v>
      </c>
      <c r="AE12" s="57">
        <f>STDEV(P14,P52,P90)</f>
        <v>13.947298173242448</v>
      </c>
      <c r="AF12" s="57">
        <f>AE12/SQRT(COUNT(P14,P52,P90))</f>
        <v>8.0524763547895031</v>
      </c>
      <c r="AG12" s="60">
        <f t="shared" si="7"/>
        <v>15.287642531301181</v>
      </c>
      <c r="AH12" s="61">
        <f>AVERAGE(V14,V52,V90)</f>
        <v>23.975666666666569</v>
      </c>
      <c r="AI12" s="57">
        <f>STDEV(V14,V52,V90)</f>
        <v>9.4825279505695601</v>
      </c>
      <c r="AJ12" s="57">
        <f>AI12/SQRT(COUNT(V14,V52,V90))</f>
        <v>5.4747400648594864</v>
      </c>
      <c r="AK12" s="62">
        <f t="shared" si="8"/>
        <v>10.239542397360074</v>
      </c>
    </row>
    <row r="13" spans="1:38" x14ac:dyDescent="0.2">
      <c r="B13" s="34">
        <v>587</v>
      </c>
      <c r="C13" s="35">
        <v>0.05</v>
      </c>
      <c r="F13" s="47" t="s">
        <v>159</v>
      </c>
      <c r="G13" s="47" t="s">
        <v>160</v>
      </c>
      <c r="H13" s="39">
        <v>0</v>
      </c>
      <c r="I13" s="39">
        <f t="shared" si="0"/>
        <v>0</v>
      </c>
      <c r="J13" s="39">
        <f t="shared" si="1"/>
        <v>0</v>
      </c>
      <c r="L13" s="47" t="s">
        <v>159</v>
      </c>
      <c r="M13" s="47" t="s">
        <v>160</v>
      </c>
      <c r="N13" s="39">
        <v>7.37</v>
      </c>
      <c r="O13" s="39">
        <f t="shared" si="2"/>
        <v>3.6850000000000001E-2</v>
      </c>
      <c r="P13" s="39">
        <f t="shared" si="3"/>
        <v>0.7369999999999971</v>
      </c>
      <c r="R13" s="47" t="s">
        <v>159</v>
      </c>
      <c r="S13" s="47" t="s">
        <v>160</v>
      </c>
      <c r="T13" s="39">
        <v>0</v>
      </c>
      <c r="U13" s="39">
        <f t="shared" si="4"/>
        <v>0</v>
      </c>
      <c r="V13" s="39">
        <f t="shared" si="5"/>
        <v>0</v>
      </c>
      <c r="Y13" s="55" t="s">
        <v>24</v>
      </c>
      <c r="Z13" s="56">
        <f>AVERAGE(J54,J92,J130,J168,J282,J510,J586,J852,J928,J966)</f>
        <v>0.28139999999999965</v>
      </c>
      <c r="AA13" s="57">
        <f>STDEV(J54,J92,J130,J168,J282,J510,J586,J852,J928,J966)</f>
        <v>0.16353130858917764</v>
      </c>
      <c r="AB13" s="57">
        <f>AA13/SQRT(COUNT(J54,J92,J130,J168,J282,J510,J586,J852,J928,J966))</f>
        <v>5.1713140388965781E-2</v>
      </c>
      <c r="AC13" s="58">
        <f t="shared" si="6"/>
        <v>1.3925956342162389</v>
      </c>
      <c r="AD13" s="59">
        <f>AVERAGE(P16,P54,P92)</f>
        <v>1.4309999999999945</v>
      </c>
      <c r="AE13" s="57">
        <f>STDEV(P16,P54,P92)</f>
        <v>1.0841591211625679</v>
      </c>
      <c r="AF13" s="57">
        <f>AE13/SQRT(COUNT(P16,P54,P92))</f>
        <v>0.62593956044759669</v>
      </c>
      <c r="AG13" s="60">
        <f t="shared" si="7"/>
        <v>0.83906325125771553</v>
      </c>
      <c r="AH13" s="61">
        <f>AVERAGE(V16,V92)</f>
        <v>1.6199999999999934</v>
      </c>
      <c r="AI13" s="57">
        <f>STDEV(V16,V92)</f>
        <v>1.4142135623730807E-2</v>
      </c>
      <c r="AJ13" s="57">
        <f>AI13/SQRT(COUNT(V16,V92))</f>
        <v>9.9999999999998979E-3</v>
      </c>
      <c r="AK13" s="62">
        <f t="shared" si="8"/>
        <v>0.69187059172730625</v>
      </c>
    </row>
    <row r="14" spans="1:38" x14ac:dyDescent="0.2">
      <c r="B14" s="34">
        <v>558</v>
      </c>
      <c r="C14" s="35">
        <v>5.00000000000001E-2</v>
      </c>
      <c r="F14" s="47" t="s">
        <v>23</v>
      </c>
      <c r="G14" s="47" t="s">
        <v>161</v>
      </c>
      <c r="H14" s="39">
        <v>9.15</v>
      </c>
      <c r="I14" s="39">
        <f t="shared" si="0"/>
        <v>4.5749999999999999E-2</v>
      </c>
      <c r="J14" s="39">
        <f t="shared" si="1"/>
        <v>0.91499999999999992</v>
      </c>
      <c r="L14" s="68" t="s">
        <v>23</v>
      </c>
      <c r="M14" s="68" t="s">
        <v>161</v>
      </c>
      <c r="N14" s="39">
        <v>409.15</v>
      </c>
      <c r="O14" s="39">
        <f t="shared" si="2"/>
        <v>2.04575</v>
      </c>
      <c r="P14" s="39">
        <f t="shared" si="3"/>
        <v>40.914999999999836</v>
      </c>
      <c r="R14" s="47" t="s">
        <v>23</v>
      </c>
      <c r="S14" s="47" t="s">
        <v>161</v>
      </c>
      <c r="T14" s="39">
        <v>63.86</v>
      </c>
      <c r="U14" s="39">
        <f t="shared" si="4"/>
        <v>1.5965000000000003</v>
      </c>
      <c r="V14" s="39">
        <f t="shared" si="5"/>
        <v>31.929999999999879</v>
      </c>
      <c r="Y14" s="55" t="s">
        <v>25</v>
      </c>
      <c r="Z14" s="56">
        <f>AVERAGE(J18,J56,J94,J132,J170,J208,J246,J284,J322,J360,J398,J436,J474,J512,J550,J588,J626,J664,J702,J740,J778,J816,J854,J892,J930,J968,J1006,J1044,J1082,J1120,J1158)</f>
        <v>1.094774193548385</v>
      </c>
      <c r="AA14" s="57">
        <f>STDEV(J18,J56,J94,J132,J170,J208,J246,J284,J322,J360,J398,J436,J474,J512,J550,J588,J626,J664,J702,J740,J778,J816,J854,J892,J930,J968,J1006,J1044,J1082,J1120,J1158)</f>
        <v>1.6426766106911681</v>
      </c>
      <c r="AB14" s="57">
        <f>AA14/SQRT(COUNT(J18,J56,J94,J132,J170,J208,J246,J284,J322,J360,J398,J436,J474,J512,J550,J588,J626,J664,J702,J740,J778,J816,J854,J892,J930,J968,J1006,J1044,J1082,J1120,J1158))</f>
        <v>0.2950334287955062</v>
      </c>
      <c r="AC14" s="58">
        <f t="shared" si="6"/>
        <v>5.4178314228432356</v>
      </c>
      <c r="AD14" s="59">
        <f>AVERAGE(P18,P56,P94)</f>
        <v>12.396666666666619</v>
      </c>
      <c r="AE14" s="57">
        <f>STDEV(P18,P56,P94)</f>
        <v>7.041532101278305</v>
      </c>
      <c r="AF14" s="57">
        <f>AE14/SQRT(COUNT(P18,P56,P94))</f>
        <v>4.0654304541804205</v>
      </c>
      <c r="AG14" s="60">
        <f t="shared" si="7"/>
        <v>7.2687543243127042</v>
      </c>
      <c r="AH14" s="61">
        <f>AVERAGE(V18,V56,V94)</f>
        <v>22.188999999999908</v>
      </c>
      <c r="AI14" s="57">
        <f>STDEV(V18,V56,V94)</f>
        <v>15.624467766935242</v>
      </c>
      <c r="AJ14" s="57">
        <f>AI14/SQRT(COUNT(V18,V56,V94))</f>
        <v>9.0207906711846935</v>
      </c>
      <c r="AK14" s="62">
        <f t="shared" si="8"/>
        <v>9.476491703603207</v>
      </c>
    </row>
    <row r="15" spans="1:38" x14ac:dyDescent="0.2">
      <c r="B15" s="34">
        <v>201</v>
      </c>
      <c r="C15" s="35">
        <v>5.00000000000001E-2</v>
      </c>
      <c r="F15" s="47" t="s">
        <v>30</v>
      </c>
      <c r="G15" s="47" t="s">
        <v>162</v>
      </c>
      <c r="H15" s="39">
        <v>1.02</v>
      </c>
      <c r="I15" s="39">
        <f t="shared" si="0"/>
        <v>5.0999999999999995E-3</v>
      </c>
      <c r="J15" s="39">
        <f t="shared" si="1"/>
        <v>0.10199999999999998</v>
      </c>
      <c r="L15" s="47" t="s">
        <v>30</v>
      </c>
      <c r="M15" s="47" t="s">
        <v>162</v>
      </c>
      <c r="N15" s="39">
        <v>83.55</v>
      </c>
      <c r="O15" s="39">
        <f t="shared" si="2"/>
        <v>0.41775000000000001</v>
      </c>
      <c r="P15" s="39">
        <f t="shared" si="3"/>
        <v>8.3549999999999667</v>
      </c>
      <c r="R15" s="47" t="s">
        <v>30</v>
      </c>
      <c r="S15" s="47" t="s">
        <v>162</v>
      </c>
      <c r="T15" s="39">
        <v>9.8699999999999992</v>
      </c>
      <c r="U15" s="39">
        <f t="shared" si="4"/>
        <v>0.24674999999999997</v>
      </c>
      <c r="V15" s="39">
        <f t="shared" si="5"/>
        <v>4.9349999999999801</v>
      </c>
      <c r="Y15" s="55" t="s">
        <v>26</v>
      </c>
      <c r="Z15" s="56">
        <v>0</v>
      </c>
      <c r="AA15" s="57">
        <v>0</v>
      </c>
      <c r="AB15" s="57">
        <v>0</v>
      </c>
      <c r="AC15" s="58">
        <f t="shared" si="6"/>
        <v>0</v>
      </c>
      <c r="AD15" s="59">
        <f>AVERAGE(P24,P100)</f>
        <v>0.55899999999999783</v>
      </c>
      <c r="AE15" s="57">
        <f>STDEV(P24,P100)</f>
        <v>0.47941839764447725</v>
      </c>
      <c r="AF15" s="57">
        <f>AE15/SQRT(COUNT(P24,P100))</f>
        <v>0.33899999999999858</v>
      </c>
      <c r="AG15" s="60">
        <f t="shared" si="7"/>
        <v>0.32776824420200068</v>
      </c>
      <c r="AH15" s="61">
        <f>AVERAGE(V24)</f>
        <v>0.67499999999999738</v>
      </c>
      <c r="AI15" s="57">
        <v>0.13100000000000001</v>
      </c>
      <c r="AJ15" s="57">
        <v>8.5000000000000006E-2</v>
      </c>
      <c r="AK15" s="62">
        <f t="shared" si="8"/>
        <v>0.28827941321971101</v>
      </c>
    </row>
    <row r="16" spans="1:38" x14ac:dyDescent="0.2">
      <c r="B16" s="34">
        <v>341</v>
      </c>
      <c r="C16" s="35">
        <v>5.00000000000001E-2</v>
      </c>
      <c r="F16" s="47" t="s">
        <v>24</v>
      </c>
      <c r="G16" s="47" t="s">
        <v>163</v>
      </c>
      <c r="H16" s="39">
        <v>0</v>
      </c>
      <c r="I16" s="39">
        <f t="shared" si="0"/>
        <v>0</v>
      </c>
      <c r="J16" s="39">
        <f t="shared" si="1"/>
        <v>0</v>
      </c>
      <c r="L16" s="47" t="s">
        <v>24</v>
      </c>
      <c r="M16" s="47" t="s">
        <v>163</v>
      </c>
      <c r="N16" s="39">
        <v>26.71</v>
      </c>
      <c r="O16" s="39">
        <f t="shared" si="2"/>
        <v>0.13355</v>
      </c>
      <c r="P16" s="39">
        <f t="shared" si="3"/>
        <v>2.6709999999999896</v>
      </c>
      <c r="R16" s="47" t="s">
        <v>24</v>
      </c>
      <c r="S16" s="47" t="s">
        <v>163</v>
      </c>
      <c r="T16" s="39">
        <v>3.22</v>
      </c>
      <c r="U16" s="39">
        <f t="shared" si="4"/>
        <v>8.0500000000000002E-2</v>
      </c>
      <c r="V16" s="39">
        <f t="shared" si="5"/>
        <v>1.6099999999999937</v>
      </c>
      <c r="Y16" s="69" t="s">
        <v>164</v>
      </c>
      <c r="Z16" s="56">
        <f>AVERAGE(J107)</f>
        <v>0.182</v>
      </c>
      <c r="AA16" s="57">
        <v>0.113</v>
      </c>
      <c r="AB16" s="57">
        <v>6.5000000000000002E-2</v>
      </c>
      <c r="AC16" s="58">
        <f t="shared" si="6"/>
        <v>0.90068374352294167</v>
      </c>
      <c r="AD16" s="59">
        <f>AVERAGE(P31)</f>
        <v>0.68299999999999728</v>
      </c>
      <c r="AE16" s="57">
        <v>0.14399999999999999</v>
      </c>
      <c r="AF16" s="57">
        <v>0.108</v>
      </c>
      <c r="AG16" s="60">
        <f t="shared" si="7"/>
        <v>0.40047533236129951</v>
      </c>
      <c r="AH16" s="61">
        <v>0</v>
      </c>
      <c r="AI16" s="57">
        <v>0</v>
      </c>
      <c r="AJ16" s="57">
        <v>0</v>
      </c>
      <c r="AK16" s="62">
        <f t="shared" si="8"/>
        <v>0</v>
      </c>
    </row>
    <row r="17" spans="2:37" x14ac:dyDescent="0.2">
      <c r="B17" s="34">
        <v>111</v>
      </c>
      <c r="C17" s="35">
        <v>5.00000000000001E-2</v>
      </c>
      <c r="F17" s="47" t="s">
        <v>31</v>
      </c>
      <c r="G17" s="47" t="s">
        <v>165</v>
      </c>
      <c r="H17" s="39">
        <v>0</v>
      </c>
      <c r="I17" s="39">
        <f t="shared" si="0"/>
        <v>0</v>
      </c>
      <c r="J17" s="39">
        <f t="shared" si="1"/>
        <v>0</v>
      </c>
      <c r="L17" s="47" t="s">
        <v>31</v>
      </c>
      <c r="M17" s="47" t="s">
        <v>165</v>
      </c>
      <c r="N17" s="39">
        <v>24.25</v>
      </c>
      <c r="O17" s="39">
        <f t="shared" si="2"/>
        <v>0.12125</v>
      </c>
      <c r="P17" s="39">
        <f t="shared" si="3"/>
        <v>2.4249999999999905</v>
      </c>
      <c r="R17" s="47" t="s">
        <v>31</v>
      </c>
      <c r="S17" s="47" t="s">
        <v>165</v>
      </c>
      <c r="T17" s="39">
        <v>2.69</v>
      </c>
      <c r="U17" s="39">
        <f t="shared" si="4"/>
        <v>6.7250000000000004E-2</v>
      </c>
      <c r="V17" s="39">
        <f t="shared" si="5"/>
        <v>1.3449999999999949</v>
      </c>
      <c r="Y17" s="55" t="s">
        <v>166</v>
      </c>
      <c r="Z17" s="56">
        <v>0</v>
      </c>
      <c r="AA17" s="57">
        <v>0</v>
      </c>
      <c r="AB17" s="57">
        <v>0</v>
      </c>
      <c r="AC17" s="58">
        <f t="shared" si="6"/>
        <v>0</v>
      </c>
      <c r="AD17" s="59">
        <f>AVERAGE(P32)</f>
        <v>0.39799999999999836</v>
      </c>
      <c r="AE17" s="57">
        <v>7.8E-2</v>
      </c>
      <c r="AF17" s="57">
        <v>3.4000000000000002E-2</v>
      </c>
      <c r="AG17" s="60">
        <f t="shared" si="7"/>
        <v>0.23336629909194315</v>
      </c>
      <c r="AH17" s="61">
        <v>0</v>
      </c>
      <c r="AI17" s="57">
        <v>0</v>
      </c>
      <c r="AJ17" s="57">
        <v>0</v>
      </c>
      <c r="AK17" s="62">
        <f t="shared" si="8"/>
        <v>0</v>
      </c>
    </row>
    <row r="18" spans="2:37" x14ac:dyDescent="0.2">
      <c r="B18" s="34">
        <v>75</v>
      </c>
      <c r="C18" s="35">
        <v>5.00000000000001E-2</v>
      </c>
      <c r="F18" s="47" t="s">
        <v>25</v>
      </c>
      <c r="G18" s="47" t="s">
        <v>167</v>
      </c>
      <c r="H18" s="39">
        <v>4.34</v>
      </c>
      <c r="I18" s="39">
        <f t="shared" si="0"/>
        <v>2.1700000000000001E-2</v>
      </c>
      <c r="J18" s="39">
        <f t="shared" si="1"/>
        <v>0.434</v>
      </c>
      <c r="L18" s="47" t="s">
        <v>25</v>
      </c>
      <c r="M18" s="47" t="s">
        <v>167</v>
      </c>
      <c r="N18" s="39">
        <v>203.54</v>
      </c>
      <c r="O18" s="39">
        <f t="shared" si="2"/>
        <v>1.0176999999999998</v>
      </c>
      <c r="P18" s="39">
        <f t="shared" si="3"/>
        <v>20.353999999999917</v>
      </c>
      <c r="R18" s="47" t="s">
        <v>25</v>
      </c>
      <c r="S18" s="47" t="s">
        <v>167</v>
      </c>
      <c r="T18" s="39">
        <v>76.650000000000006</v>
      </c>
      <c r="U18" s="39">
        <f t="shared" si="4"/>
        <v>1.9162499999999998</v>
      </c>
      <c r="V18" s="39">
        <f t="shared" si="5"/>
        <v>38.324999999999847</v>
      </c>
      <c r="Y18" s="55" t="s">
        <v>27</v>
      </c>
      <c r="Z18" s="56">
        <f>AVERAGE(J72,J110,J148,J300,J528,J604,J756,J946,J984)</f>
        <v>0.79422222222222127</v>
      </c>
      <c r="AA18" s="57">
        <f>STDEV(J72,J110,J148,J300,J528,J604,J756,J946,J984)</f>
        <v>0.48871483959917261</v>
      </c>
      <c r="AB18" s="57">
        <f>AA18/SQRT(COUNT(J72,J110,J148,J300,J528,J604,J756,J946,J984))</f>
        <v>0.16290494653305754</v>
      </c>
      <c r="AC18" s="58">
        <f t="shared" si="6"/>
        <v>3.930456287363846</v>
      </c>
      <c r="AD18" s="59">
        <f>AVERAGE(P34,P110)</f>
        <v>1.5569999999999939</v>
      </c>
      <c r="AE18" s="57">
        <f>STDEV(P34,P110)</f>
        <v>1.2883485553218852</v>
      </c>
      <c r="AF18" s="57">
        <f>AE18/SQRT(COUNT(P34,P110))</f>
        <v>0.91099999999999681</v>
      </c>
      <c r="AG18" s="60">
        <f t="shared" si="7"/>
        <v>0.9129430343873256</v>
      </c>
      <c r="AH18" s="61">
        <f>AVERAGE(V34,V72,V110)</f>
        <v>3.2329999999999877</v>
      </c>
      <c r="AI18" s="57">
        <f>STDEV(V34,V72,V110)</f>
        <v>2.3265332578753211</v>
      </c>
      <c r="AJ18" s="57">
        <f>AI18/SQRT(COUNT(V34,V72,V110))</f>
        <v>1.3432246027129338</v>
      </c>
      <c r="AK18" s="62">
        <f t="shared" si="8"/>
        <v>1.3807516191693714</v>
      </c>
    </row>
    <row r="19" spans="2:37" x14ac:dyDescent="0.2">
      <c r="B19" s="34">
        <v>28</v>
      </c>
      <c r="C19" s="35">
        <v>5.00000000000001E-2</v>
      </c>
      <c r="F19" s="47" t="s">
        <v>32</v>
      </c>
      <c r="G19" s="47" t="s">
        <v>168</v>
      </c>
      <c r="H19" s="39">
        <v>9.65</v>
      </c>
      <c r="I19" s="39">
        <f t="shared" si="0"/>
        <v>4.8250000000000001E-2</v>
      </c>
      <c r="J19" s="39">
        <f t="shared" si="1"/>
        <v>0.96499999999999997</v>
      </c>
      <c r="L19" s="68" t="s">
        <v>32</v>
      </c>
      <c r="M19" s="68" t="s">
        <v>168</v>
      </c>
      <c r="N19" s="39">
        <v>936.53</v>
      </c>
      <c r="O19" s="39">
        <f t="shared" si="2"/>
        <v>4.6826499999999998</v>
      </c>
      <c r="P19" s="39">
        <f t="shared" si="3"/>
        <v>93.652999999999622</v>
      </c>
      <c r="R19" s="47" t="s">
        <v>32</v>
      </c>
      <c r="S19" s="47" t="s">
        <v>168</v>
      </c>
      <c r="T19" s="39">
        <v>321.81</v>
      </c>
      <c r="U19" s="39">
        <f t="shared" si="4"/>
        <v>8.0452499999999993</v>
      </c>
      <c r="V19" s="39">
        <f t="shared" si="5"/>
        <v>160.90499999999935</v>
      </c>
      <c r="Y19" s="69" t="s">
        <v>169</v>
      </c>
      <c r="Z19" s="56">
        <f>AVERAGE(J112,J986)</f>
        <v>0.20299999999999971</v>
      </c>
      <c r="AA19" s="57">
        <f>STDEV(J112,J986)</f>
        <v>8.3438600180013006E-2</v>
      </c>
      <c r="AB19" s="57">
        <f>AA19/SQRT(COUNT(J112,J986))</f>
        <v>5.9000000000000274E-2</v>
      </c>
      <c r="AC19" s="58">
        <f t="shared" si="6"/>
        <v>1.0046087908525105</v>
      </c>
      <c r="AD19" s="59">
        <f>AVERAGE(P36)</f>
        <v>0.23399999999999904</v>
      </c>
      <c r="AE19" s="57">
        <v>0.123</v>
      </c>
      <c r="AF19" s="57">
        <v>8.6999999999999994E-2</v>
      </c>
      <c r="AG19" s="60">
        <f t="shared" si="7"/>
        <v>0.13720531152641882</v>
      </c>
      <c r="AH19" s="61">
        <f>AVERAGE(V36,V74)</f>
        <v>15.636999999999938</v>
      </c>
      <c r="AI19" s="57">
        <f>STDEV(V36,V74)</f>
        <v>21.726562958737773</v>
      </c>
      <c r="AJ19" s="57">
        <f>AI19/SQRT(COUNT(V36,V74))</f>
        <v>15.362999999999937</v>
      </c>
      <c r="AK19" s="62">
        <f t="shared" si="8"/>
        <v>6.6782595326172158</v>
      </c>
    </row>
    <row r="20" spans="2:37" x14ac:dyDescent="0.2">
      <c r="B20" s="34">
        <v>343</v>
      </c>
      <c r="C20" s="35">
        <v>5.00000000000001E-2</v>
      </c>
      <c r="F20" s="47" t="s">
        <v>37</v>
      </c>
      <c r="G20" s="47" t="s">
        <v>170</v>
      </c>
      <c r="H20" s="39">
        <v>0</v>
      </c>
      <c r="I20" s="39">
        <f t="shared" si="0"/>
        <v>0</v>
      </c>
      <c r="J20" s="39">
        <f t="shared" si="1"/>
        <v>0</v>
      </c>
      <c r="L20" s="47" t="s">
        <v>37</v>
      </c>
      <c r="M20" s="47" t="s">
        <v>170</v>
      </c>
      <c r="N20" s="39">
        <v>22.32</v>
      </c>
      <c r="O20" s="39">
        <f t="shared" si="2"/>
        <v>0.11159999999999999</v>
      </c>
      <c r="P20" s="39">
        <f t="shared" si="3"/>
        <v>2.2319999999999909</v>
      </c>
      <c r="R20" s="47" t="s">
        <v>37</v>
      </c>
      <c r="S20" s="47" t="s">
        <v>170</v>
      </c>
      <c r="T20" s="39">
        <v>2.34</v>
      </c>
      <c r="U20" s="39">
        <f t="shared" si="4"/>
        <v>5.8499999999999996E-2</v>
      </c>
      <c r="V20" s="39">
        <f t="shared" si="5"/>
        <v>1.1699999999999953</v>
      </c>
      <c r="Y20" s="70" t="s">
        <v>123</v>
      </c>
      <c r="Z20" s="71">
        <f>SUM(Z3:Z19)</f>
        <v>5.746397183819755</v>
      </c>
      <c r="AA20" s="72">
        <f>STDEV(AA8,J48,J86,J124,J162,J276,J428,J504,J580,J656,J694,J732,J770,J846,J922,J88,J164,J278,J506,J924,J962,J14,J52,J90,J128,J166,J204,J242,J280,J318,J356,J394,J432,J470,J508,J546,J584,J622,J660,J698,J736,J774,J812,J850,J888,J926,J964,J1002,J1040,J1078,J1116,J1154,J54,J92,J130,J168,J282,J510,J586,J852,J928,J966,J18,J56,J94,J132,J170,J208,J246,J284,J322,J360,J398,J436,J474,J512,J550,J588,J626,J664,J702,J740,J778,J816,J854,J892,J930,J968,J1006,J1044,J1082,J1120,J1158,AA16,J72,J110,J148,J300,J528,J604,J756,J946,J984,J112,J986)</f>
        <v>2.0964398025670903</v>
      </c>
      <c r="AB20" s="72">
        <f>AA20/SQRT(COUNT(AA8,J48,J86,J124,J162,J276,J428,J504,J580,J656,J694,J732,J770,J846,J922,J88,J164,J278,J506,J924,J962,J14,J52,J90,J128,J166,J204,J242,J280,J318,J356,J394,J432,J470,J508,J546,J584,J622,J660,J698,J736,J774,J812,J850,J888,J926,J964,J1002,J1040,J1078,J1116,J1154,J54,J92,J130,J168,J282,J510,J586,J852,J928,J966,J18,J56,J94,J132,J170,J208,J246,J284,J322,J360,J398,J436,J474,J512,J550,J588,J626,J664,J702,J740,J778,J816,J854,J892,J930,J968,J1006,J1044,J1082,J1120,J1158,AA16,J72,J110,J148,J300,J528,J604,J756,J946,J984,J112,J986))</f>
        <v>0.2045915756257432</v>
      </c>
      <c r="AC20" s="73">
        <f t="shared" si="6"/>
        <v>28.43783806204652</v>
      </c>
      <c r="AD20" s="74">
        <f>SUM(AD4:AD19)</f>
        <v>49.117333333333143</v>
      </c>
      <c r="AE20" s="72">
        <f>STDEV(AE8,AE9,P10,P48,P86,P12,P50,P88,P14,P52,P90,P16,P54,P92,P18,P56,P94,P24,P100,AE16,AE17,P34,P110,AE19)</f>
        <v>9.8946583071115679</v>
      </c>
      <c r="AF20" s="72">
        <f>AE20/SQRT(COUNT(AE8,AE9,P10,P48,P86,P12,P50,P88,P14,P52,P90,P16,P54,P92,P18,P56,P94,P24,P100,AE16,AE17,P34,P110,AE19))</f>
        <v>2.0197386693011796</v>
      </c>
      <c r="AG20" s="75">
        <f t="shared" si="7"/>
        <v>28.799824877551103</v>
      </c>
      <c r="AH20" s="76">
        <f>SUM(AH4:AH19)</f>
        <v>70.081999999999724</v>
      </c>
      <c r="AI20" s="72">
        <f>STDEV(V10,V48,V86,V12,V50,V88,V14,V52,V90,V16,V92,V18,V56,V94,AI15,V34,V72,V110,V36,V74)</f>
        <v>12.716501670022419</v>
      </c>
      <c r="AJ20" s="72">
        <f>AI20/SQRT(COUNT(V10,V48,V86,V12,V50,V88,V14,V52,V90,V16,V92,V18,V56,V94,AI15,V34,V72,V110,V36,V74))</f>
        <v>2.8434962170159728</v>
      </c>
      <c r="AK20" s="77">
        <f t="shared" si="8"/>
        <v>29.930663462613015</v>
      </c>
    </row>
    <row r="21" spans="2:37" x14ac:dyDescent="0.2">
      <c r="B21" s="34">
        <v>630</v>
      </c>
      <c r="C21" s="35">
        <v>5.00000000000001E-2</v>
      </c>
      <c r="F21" s="47" t="s">
        <v>171</v>
      </c>
      <c r="G21" s="47" t="s">
        <v>172</v>
      </c>
      <c r="H21" s="39">
        <v>0</v>
      </c>
      <c r="I21" s="39">
        <f t="shared" si="0"/>
        <v>0</v>
      </c>
      <c r="J21" s="39">
        <f t="shared" si="1"/>
        <v>0</v>
      </c>
      <c r="L21" s="47" t="s">
        <v>171</v>
      </c>
      <c r="M21" s="47" t="s">
        <v>172</v>
      </c>
      <c r="N21" s="39">
        <v>6.91</v>
      </c>
      <c r="O21" s="39">
        <f t="shared" si="2"/>
        <v>3.4549999999999997E-2</v>
      </c>
      <c r="P21" s="39">
        <f t="shared" si="3"/>
        <v>0.69099999999999717</v>
      </c>
      <c r="R21" s="47" t="s">
        <v>171</v>
      </c>
      <c r="S21" s="47" t="s">
        <v>172</v>
      </c>
      <c r="T21" s="39">
        <v>1.6</v>
      </c>
      <c r="U21" s="39">
        <f t="shared" si="4"/>
        <v>0.04</v>
      </c>
      <c r="V21" s="39">
        <f t="shared" si="5"/>
        <v>0.79999999999999682</v>
      </c>
      <c r="Y21" s="55" t="s">
        <v>173</v>
      </c>
      <c r="Z21" s="56">
        <f>AVERAGE(J87,J125,J277)</f>
        <v>9.0999999999999984E-2</v>
      </c>
      <c r="AA21" s="57">
        <f>STDEV(J87,J125,J277)</f>
        <v>3.1432467291003408E-2</v>
      </c>
      <c r="AB21" s="57">
        <f>AA21/SQRT(COUNT(J87,J125,J277))</f>
        <v>1.8147543451754924E-2</v>
      </c>
      <c r="AC21" s="58">
        <f t="shared" si="6"/>
        <v>0.45034187176147072</v>
      </c>
      <c r="AD21" s="59">
        <f>AVERAGE(P11)</f>
        <v>0.14899999999999941</v>
      </c>
      <c r="AE21" s="57">
        <v>9.9000000000000005E-2</v>
      </c>
      <c r="AF21" s="57">
        <v>4.5999999999999999E-2</v>
      </c>
      <c r="AG21" s="60">
        <f t="shared" si="7"/>
        <v>8.7365775288189798E-2</v>
      </c>
      <c r="AH21" s="61">
        <f>AVERAGE(J87)</f>
        <v>7.6999999999999999E-2</v>
      </c>
      <c r="AI21" s="57">
        <v>3.4000000000000002E-2</v>
      </c>
      <c r="AJ21" s="57">
        <v>1.2E-2</v>
      </c>
      <c r="AK21" s="62">
        <f t="shared" si="8"/>
        <v>3.2885207137656046E-2</v>
      </c>
    </row>
    <row r="22" spans="2:37" x14ac:dyDescent="0.2">
      <c r="B22" s="34">
        <v>2</v>
      </c>
      <c r="C22" s="35">
        <v>5.0000000000000197E-2</v>
      </c>
      <c r="F22" s="47" t="s">
        <v>42</v>
      </c>
      <c r="G22" s="47" t="s">
        <v>174</v>
      </c>
      <c r="H22" s="39">
        <v>0</v>
      </c>
      <c r="I22" s="39">
        <f t="shared" si="0"/>
        <v>0</v>
      </c>
      <c r="J22" s="39">
        <f t="shared" si="1"/>
        <v>0</v>
      </c>
      <c r="L22" s="47" t="s">
        <v>42</v>
      </c>
      <c r="M22" s="47" t="s">
        <v>174</v>
      </c>
      <c r="N22" s="39">
        <v>14.59</v>
      </c>
      <c r="O22" s="39">
        <f t="shared" si="2"/>
        <v>7.2950000000000001E-2</v>
      </c>
      <c r="P22" s="39">
        <f t="shared" si="3"/>
        <v>1.4589999999999943</v>
      </c>
      <c r="R22" s="47" t="s">
        <v>42</v>
      </c>
      <c r="S22" s="47" t="s">
        <v>174</v>
      </c>
      <c r="T22" s="39">
        <v>0</v>
      </c>
      <c r="U22" s="39">
        <f t="shared" si="4"/>
        <v>0</v>
      </c>
      <c r="V22" s="39">
        <f t="shared" si="5"/>
        <v>0</v>
      </c>
      <c r="Y22" s="55" t="s">
        <v>159</v>
      </c>
      <c r="Z22" s="56">
        <v>0</v>
      </c>
      <c r="AA22" s="57">
        <v>0</v>
      </c>
      <c r="AB22" s="57">
        <v>0</v>
      </c>
      <c r="AC22" s="58">
        <f t="shared" si="6"/>
        <v>0</v>
      </c>
      <c r="AD22" s="59">
        <f>AVERAGE(P13,P89)</f>
        <v>0.41049999999999842</v>
      </c>
      <c r="AE22" s="57">
        <f>STDEV(P13,P89)</f>
        <v>0.46174072811481365</v>
      </c>
      <c r="AF22" s="57">
        <f>AE22/SQRT(COUNT(P13,P89))</f>
        <v>0.32649999999999862</v>
      </c>
      <c r="AG22" s="60">
        <f t="shared" si="7"/>
        <v>0.24069564265638865</v>
      </c>
      <c r="AH22" s="61">
        <v>0</v>
      </c>
      <c r="AI22" s="57">
        <v>0</v>
      </c>
      <c r="AJ22" s="57">
        <v>0</v>
      </c>
      <c r="AK22" s="62">
        <f t="shared" si="8"/>
        <v>0</v>
      </c>
    </row>
    <row r="23" spans="2:37" x14ac:dyDescent="0.2">
      <c r="B23" s="34">
        <v>82</v>
      </c>
      <c r="C23" s="35">
        <v>5.0000000000000197E-2</v>
      </c>
      <c r="F23" s="67" t="s">
        <v>38</v>
      </c>
      <c r="G23" s="37" t="s">
        <v>175</v>
      </c>
      <c r="H23" s="39">
        <v>0</v>
      </c>
      <c r="I23" s="39">
        <f t="shared" si="0"/>
        <v>0</v>
      </c>
      <c r="J23" s="39">
        <f t="shared" si="1"/>
        <v>0</v>
      </c>
      <c r="L23" s="47" t="s">
        <v>38</v>
      </c>
      <c r="M23" s="37" t="s">
        <v>175</v>
      </c>
      <c r="N23" s="39">
        <v>4.1100000000000003</v>
      </c>
      <c r="O23" s="39">
        <f t="shared" si="2"/>
        <v>2.0550000000000002E-2</v>
      </c>
      <c r="P23" s="39">
        <f t="shared" si="3"/>
        <v>0.41099999999999842</v>
      </c>
      <c r="R23" s="67" t="s">
        <v>38</v>
      </c>
      <c r="S23" s="37" t="s">
        <v>175</v>
      </c>
      <c r="T23" s="39">
        <v>0</v>
      </c>
      <c r="U23" s="39">
        <f t="shared" si="4"/>
        <v>0</v>
      </c>
      <c r="V23" s="39">
        <f t="shared" si="5"/>
        <v>0</v>
      </c>
      <c r="Y23" s="55" t="s">
        <v>176</v>
      </c>
      <c r="Z23" s="56">
        <f>AVERAGE(J15,J53,J91,J129,J167,J243,J281,J357,J433,J509,J547,J585,J661,J699,J737,J775,J813,J851,J927,J965,J1003,J1041,J1079,J1117)</f>
        <v>0.48587499999999922</v>
      </c>
      <c r="AA23" s="57">
        <f>STDEV(J15,J53,J91,J129,J167,J243,J281,J357,J433,J509,J547,J585,J661,J699,J737,J775,J813,J851,J927,J965,J1003,J1041,J1079,J1117)</f>
        <v>0.59251742315237443</v>
      </c>
      <c r="AB23" s="57">
        <f>AA23/SQRT(COUNT(J15,J53,J91,J129,J167,J243,J281,J357,J433,J509,J547,J585,J661,J699,J737,J775,J813,J851,J927,J965,J1003,J1041,J1079,J1117))</f>
        <v>0.12094711253600511</v>
      </c>
      <c r="AC23" s="58">
        <f t="shared" si="6"/>
        <v>2.4045039224407065</v>
      </c>
      <c r="AD23" s="59">
        <f>AVERAGE(P15,P53,P91)</f>
        <v>6.4733333333333078</v>
      </c>
      <c r="AE23" s="57">
        <f>STDEV(P15,P53,P91)</f>
        <v>2.3030975518490933</v>
      </c>
      <c r="AF23" s="57">
        <f>AE23/SQRT(COUNT(P15,P53,P91))</f>
        <v>1.3296939915300421</v>
      </c>
      <c r="AG23" s="60">
        <f t="shared" si="7"/>
        <v>3.7956227205741513</v>
      </c>
      <c r="AH23" s="61">
        <f>AVERAGE(V15,V53,V91)</f>
        <v>5.7216666666666436</v>
      </c>
      <c r="AI23" s="57">
        <f>STDEV(V15,V53,V91)</f>
        <v>2.9254330163812106</v>
      </c>
      <c r="AJ23" s="57">
        <f>AI23/SQRT(COUNT(V15,V53,V91))</f>
        <v>1.6889995395039108</v>
      </c>
      <c r="AK23" s="62">
        <f t="shared" si="8"/>
        <v>2.4436129026747349</v>
      </c>
    </row>
    <row r="24" spans="2:37" x14ac:dyDescent="0.2">
      <c r="B24" s="34">
        <v>644</v>
      </c>
      <c r="C24" s="35">
        <v>5.0000000000000197E-2</v>
      </c>
      <c r="F24" s="47" t="s">
        <v>26</v>
      </c>
      <c r="G24" s="47" t="s">
        <v>177</v>
      </c>
      <c r="H24" s="39">
        <v>0</v>
      </c>
      <c r="I24" s="39">
        <f t="shared" si="0"/>
        <v>0</v>
      </c>
      <c r="J24" s="39">
        <f t="shared" si="1"/>
        <v>0</v>
      </c>
      <c r="L24" s="47" t="s">
        <v>26</v>
      </c>
      <c r="M24" s="47" t="s">
        <v>177</v>
      </c>
      <c r="N24" s="39">
        <v>8.98</v>
      </c>
      <c r="O24" s="39">
        <f t="shared" si="2"/>
        <v>4.4900000000000002E-2</v>
      </c>
      <c r="P24" s="39">
        <f t="shared" si="3"/>
        <v>0.89799999999999647</v>
      </c>
      <c r="R24" s="47" t="s">
        <v>26</v>
      </c>
      <c r="S24" s="47" t="s">
        <v>177</v>
      </c>
      <c r="T24" s="39">
        <v>1.35</v>
      </c>
      <c r="U24" s="39">
        <f t="shared" si="4"/>
        <v>3.3750000000000002E-2</v>
      </c>
      <c r="V24" s="39">
        <f t="shared" si="5"/>
        <v>0.67499999999999738</v>
      </c>
      <c r="Y24" s="55" t="s">
        <v>31</v>
      </c>
      <c r="Z24" s="56">
        <f>AVERAGE(J55,J93,J283,J511,J929,J967)</f>
        <v>0.27066666666666633</v>
      </c>
      <c r="AA24" s="57">
        <f>STDEV(J55,J93,J283,J511,J929,J967)</f>
        <v>0.12540919689826061</v>
      </c>
      <c r="AB24" s="57">
        <f>AA24/SQRT(COUNT(J55,J93,J283,J511,J929,J967))</f>
        <v>5.119809024216089E-2</v>
      </c>
      <c r="AC24" s="58">
        <f t="shared" si="6"/>
        <v>1.3394783878033476</v>
      </c>
      <c r="AD24" s="59">
        <f>AVERAGE(P17,P55,P93)</f>
        <v>1.3453333333333282</v>
      </c>
      <c r="AE24" s="57">
        <f>STDEV(P17,P55,P93)</f>
        <v>0.93929246421619184</v>
      </c>
      <c r="AF24" s="57">
        <f>AE24/SQRT(COUNT(P17,P55,P93))</f>
        <v>0.54230075706300529</v>
      </c>
      <c r="AG24" s="60">
        <f t="shared" si="7"/>
        <v>0.78883281669604932</v>
      </c>
      <c r="AH24" s="61">
        <f>AVERAGE(V17,V93)</f>
        <v>1.7799999999999931</v>
      </c>
      <c r="AI24" s="57">
        <f>STDEV(V17,V93)</f>
        <v>0.61518289963229345</v>
      </c>
      <c r="AJ24" s="57">
        <f>AI24/SQRT(COUNT(V17,V93))</f>
        <v>0.43499999999999794</v>
      </c>
      <c r="AK24" s="62">
        <f t="shared" si="8"/>
        <v>0.76020348967568241</v>
      </c>
    </row>
    <row r="25" spans="2:37" x14ac:dyDescent="0.2">
      <c r="B25" s="34">
        <v>80</v>
      </c>
      <c r="C25" s="35">
        <v>5.0000000000000197E-2</v>
      </c>
      <c r="F25" s="47" t="s">
        <v>33</v>
      </c>
      <c r="G25" s="47" t="s">
        <v>178</v>
      </c>
      <c r="H25" s="39">
        <v>1.75</v>
      </c>
      <c r="I25" s="39">
        <f t="shared" si="0"/>
        <v>8.7500000000000008E-3</v>
      </c>
      <c r="J25" s="39">
        <f t="shared" si="1"/>
        <v>0.17500000000000002</v>
      </c>
      <c r="L25" s="47" t="s">
        <v>33</v>
      </c>
      <c r="M25" s="47" t="s">
        <v>178</v>
      </c>
      <c r="N25" s="39">
        <v>143.01</v>
      </c>
      <c r="O25" s="39">
        <f t="shared" si="2"/>
        <v>0.71504999999999996</v>
      </c>
      <c r="P25" s="39">
        <f t="shared" si="3"/>
        <v>14.300999999999943</v>
      </c>
      <c r="R25" s="47" t="s">
        <v>33</v>
      </c>
      <c r="S25" s="47" t="s">
        <v>178</v>
      </c>
      <c r="T25" s="39">
        <v>51.38</v>
      </c>
      <c r="U25" s="39">
        <f t="shared" si="4"/>
        <v>1.2845</v>
      </c>
      <c r="V25" s="39">
        <f t="shared" si="5"/>
        <v>25.689999999999898</v>
      </c>
      <c r="Y25" s="55" t="s">
        <v>179</v>
      </c>
      <c r="Z25" s="56">
        <f>AVERAGE(J19,J57,J95,J133,J171,J209,J247,J285,J361,J399,J437,J475,J513,J551,J589,J665,J703,J741,J779,J817,J855,J893,J931,J969,J1007,J1045,J1083,J1121,J1159)</f>
        <v>4.2921379310344765</v>
      </c>
      <c r="AA25" s="57">
        <f>STDEV(J19,J57,J95,J133,J171,J209,J247,J285,J361,J399,J437,J475,J513,J551,J589,J665,J703,J741,J779,J817,J855,J893,J931,J969,J1007,J1045,J1083,J1121,J1159)</f>
        <v>7.0822187086702124</v>
      </c>
      <c r="AB25" s="57">
        <f>AA25/SQRT(COUNT(J19,J57,J95,J133,J171,J209,J247,J285,J361,J399,J437,J475,J513,J551,J589,J665,J703,J741,J779,J817,J855,J893,J931,J969,J1007,J1045,J1083,J1121,J1159))</f>
        <v>1.3151349981503586</v>
      </c>
      <c r="AC25" s="58">
        <f t="shared" si="6"/>
        <v>21.240982744181022</v>
      </c>
      <c r="AD25" s="59">
        <f>AVERAGE(P19,P57,P95)</f>
        <v>65.985333333333074</v>
      </c>
      <c r="AE25" s="57">
        <f>STDEV(P19,P57,P95)</f>
        <v>29.323252656097473</v>
      </c>
      <c r="AF25" s="57">
        <f>AE25/SQRT(COUNT(P19,P57,P95))</f>
        <v>16.929787814513286</v>
      </c>
      <c r="AG25" s="60">
        <f t="shared" si="7"/>
        <v>38.690334257156373</v>
      </c>
      <c r="AH25" s="61">
        <f>AVERAGE(V19,V57,V95)</f>
        <v>112.91033333333287</v>
      </c>
      <c r="AI25" s="57">
        <f>STDEV(V19,V57,V95)</f>
        <v>66.365150420482777</v>
      </c>
      <c r="AJ25" s="57">
        <f>AI25/SQRT(COUNT(V19,V57,V95))</f>
        <v>38.315937460075737</v>
      </c>
      <c r="AK25" s="62">
        <f t="shared" si="8"/>
        <v>48.221814281148596</v>
      </c>
    </row>
    <row r="26" spans="2:37" x14ac:dyDescent="0.2">
      <c r="B26" s="34">
        <v>53</v>
      </c>
      <c r="C26" s="35">
        <v>5.0000000000000197E-2</v>
      </c>
      <c r="F26" s="47" t="s">
        <v>39</v>
      </c>
      <c r="G26" s="47" t="s">
        <v>180</v>
      </c>
      <c r="H26" s="39">
        <v>0</v>
      </c>
      <c r="I26" s="39">
        <f t="shared" si="0"/>
        <v>0</v>
      </c>
      <c r="J26" s="39">
        <f t="shared" si="1"/>
        <v>0</v>
      </c>
      <c r="L26" s="47" t="s">
        <v>39</v>
      </c>
      <c r="M26" s="47" t="s">
        <v>180</v>
      </c>
      <c r="N26" s="39">
        <v>7.75</v>
      </c>
      <c r="O26" s="39">
        <f t="shared" si="2"/>
        <v>3.875E-2</v>
      </c>
      <c r="P26" s="39">
        <f t="shared" si="3"/>
        <v>0.77499999999999691</v>
      </c>
      <c r="R26" s="47" t="s">
        <v>39</v>
      </c>
      <c r="S26" s="47" t="s">
        <v>180</v>
      </c>
      <c r="T26" s="39">
        <v>1.62</v>
      </c>
      <c r="U26" s="39">
        <f t="shared" si="4"/>
        <v>4.0500000000000008E-2</v>
      </c>
      <c r="V26" s="39">
        <f t="shared" si="5"/>
        <v>0.80999999999999694</v>
      </c>
      <c r="Y26" s="55" t="s">
        <v>181</v>
      </c>
      <c r="Z26" s="56">
        <f>AVERAGE(J25,J63,J101,J139,J177,J291,J519,J595,J671,J709,J747,J785,J823,J861,J937,J975,J1013,J1089)</f>
        <v>0.97827777777777625</v>
      </c>
      <c r="AA26" s="57">
        <f>STDEV(J25,J63,J101,J139,J177,J291,J519,J595,J671,J709,J747,J785,J823,J861,J937,J975,J1013,J1089)</f>
        <v>1.2367038641940176</v>
      </c>
      <c r="AB26" s="57">
        <f>AA26/SQRT(COUNT(J25,J63,J101,J139,J177,J291,J519,J595,J671,J709,J747,J785,J823,J861,J937,J975,J1013,J1089))</f>
        <v>0.29149389623039901</v>
      </c>
      <c r="AC26" s="58">
        <f t="shared" si="6"/>
        <v>4.8413125884296262</v>
      </c>
      <c r="AD26" s="59">
        <f>AVERAGE(P25,P63,P101)</f>
        <v>9.2103333333332973</v>
      </c>
      <c r="AE26" s="57">
        <f>STDEV(P25,P63,P101)</f>
        <v>5.4387857407084104</v>
      </c>
      <c r="AF26" s="57">
        <f>AE26/SQRT(COUNT(P25,P63,P101))</f>
        <v>3.1400844114626989</v>
      </c>
      <c r="AG26" s="60">
        <f t="shared" si="7"/>
        <v>5.4004557874451278</v>
      </c>
      <c r="AH26" s="61">
        <f>AVERAGE(V25,V63,V101)</f>
        <v>17.17799999999993</v>
      </c>
      <c r="AI26" s="57">
        <f>STDEV(V25,V63,V101)</f>
        <v>11.740683625751906</v>
      </c>
      <c r="AJ26" s="57">
        <f>AI26/SQRT(COUNT(V25,V63,V101))</f>
        <v>6.7784868517980952</v>
      </c>
      <c r="AK26" s="62">
        <f t="shared" si="8"/>
        <v>7.3363907559825101</v>
      </c>
    </row>
    <row r="27" spans="2:37" x14ac:dyDescent="0.2">
      <c r="B27" s="34">
        <v>720</v>
      </c>
      <c r="C27" s="35">
        <v>5.0000000000000197E-2</v>
      </c>
      <c r="F27" s="47" t="s">
        <v>40</v>
      </c>
      <c r="G27" s="47" t="s">
        <v>182</v>
      </c>
      <c r="H27" s="39">
        <v>0</v>
      </c>
      <c r="I27" s="39">
        <f t="shared" si="0"/>
        <v>0</v>
      </c>
      <c r="J27" s="39">
        <f t="shared" si="1"/>
        <v>0</v>
      </c>
      <c r="L27" s="47" t="s">
        <v>40</v>
      </c>
      <c r="M27" s="47" t="s">
        <v>182</v>
      </c>
      <c r="N27" s="39">
        <v>0</v>
      </c>
      <c r="O27" s="39">
        <f t="shared" si="2"/>
        <v>0</v>
      </c>
      <c r="P27" s="39">
        <f t="shared" si="3"/>
        <v>0</v>
      </c>
      <c r="R27" s="47" t="s">
        <v>40</v>
      </c>
      <c r="S27" s="47" t="s">
        <v>182</v>
      </c>
      <c r="T27" s="39">
        <v>0</v>
      </c>
      <c r="U27" s="39">
        <f t="shared" si="4"/>
        <v>0</v>
      </c>
      <c r="V27" s="39">
        <f t="shared" si="5"/>
        <v>0</v>
      </c>
      <c r="Y27" s="55" t="s">
        <v>183</v>
      </c>
      <c r="Z27" s="56">
        <f>AVERAGE(J109,J299,J527,J983)</f>
        <v>0.3789999999999995</v>
      </c>
      <c r="AA27" s="57">
        <f>STDEV(J109,J299,J527,J983)</f>
        <v>0.13292353691753236</v>
      </c>
      <c r="AB27" s="57">
        <f>AA27/SQRT(COUNT(J109,J299,J527,J983))</f>
        <v>6.6461768458766182E-2</v>
      </c>
      <c r="AC27" s="58">
        <f t="shared" si="6"/>
        <v>1.8755996637098595</v>
      </c>
      <c r="AD27" s="59">
        <f>AVERAGE(P33,P71,P109)</f>
        <v>1.6499999999999935</v>
      </c>
      <c r="AE27" s="57">
        <f>STDEV(P33,P71,P109)</f>
        <v>1.1104165884928003</v>
      </c>
      <c r="AF27" s="57">
        <f>AE27/SQRT(COUNT(P33,P71,P109))</f>
        <v>0.64109931627894423</v>
      </c>
      <c r="AG27" s="60">
        <f t="shared" si="7"/>
        <v>0.96747335050679961</v>
      </c>
      <c r="AH27" s="61">
        <f>AVERAGE(V33,V109)</f>
        <v>2.4274999999999904</v>
      </c>
      <c r="AI27" s="57">
        <f>STDEV(V33,V109)</f>
        <v>0.22273863607376182</v>
      </c>
      <c r="AJ27" s="57">
        <f>AI27/SQRT(COUNT(V33,V109))</f>
        <v>0.15749999999999953</v>
      </c>
      <c r="AK27" s="62">
        <f t="shared" si="8"/>
        <v>1.036738186060516</v>
      </c>
    </row>
    <row r="28" spans="2:37" x14ac:dyDescent="0.2">
      <c r="B28" s="34">
        <v>264</v>
      </c>
      <c r="C28" s="35">
        <v>5.0000000000000197E-2</v>
      </c>
      <c r="F28" s="47" t="s">
        <v>43</v>
      </c>
      <c r="G28" s="47" t="s">
        <v>184</v>
      </c>
      <c r="H28" s="39">
        <v>1.41</v>
      </c>
      <c r="I28" s="39">
        <f t="shared" si="0"/>
        <v>7.0499999999999998E-3</v>
      </c>
      <c r="J28" s="39">
        <f t="shared" si="1"/>
        <v>0.14099999999999999</v>
      </c>
      <c r="L28" s="47" t="s">
        <v>43</v>
      </c>
      <c r="M28" s="47" t="s">
        <v>184</v>
      </c>
      <c r="N28" s="39">
        <v>26.25</v>
      </c>
      <c r="O28" s="39">
        <f t="shared" si="2"/>
        <v>0.13125000000000001</v>
      </c>
      <c r="P28" s="39">
        <f t="shared" si="3"/>
        <v>2.6249999999999898</v>
      </c>
      <c r="R28" s="67" t="s">
        <v>43</v>
      </c>
      <c r="S28" s="47" t="s">
        <v>184</v>
      </c>
      <c r="T28" s="39">
        <v>4.16</v>
      </c>
      <c r="U28" s="39">
        <f t="shared" si="4"/>
        <v>0.104</v>
      </c>
      <c r="V28" s="39">
        <f t="shared" si="5"/>
        <v>2.0799999999999916</v>
      </c>
      <c r="Y28" s="55" t="s">
        <v>185</v>
      </c>
      <c r="Z28" s="56">
        <f>AVERAGE(J189,J303,J531)</f>
        <v>0.24399999999999977</v>
      </c>
      <c r="AA28" s="57">
        <f>STDEV(J189,J303,J531)</f>
        <v>8.7709748602991383E-2</v>
      </c>
      <c r="AB28" s="57">
        <f>AA28/SQRT(COUNT(J189,J303,J531))</f>
        <v>5.0639246966491483E-2</v>
      </c>
      <c r="AC28" s="58">
        <f t="shared" si="6"/>
        <v>1.2075100737340525</v>
      </c>
      <c r="AD28" s="59">
        <f>AVERAGE(P37,P75,P113)</f>
        <v>1.6259999999999935</v>
      </c>
      <c r="AE28" s="57">
        <f>STDEV(P37,P75,P113)</f>
        <v>1.0251346253053752</v>
      </c>
      <c r="AF28" s="57">
        <f>AE28/SQRT(COUNT(P37,P75,P113))</f>
        <v>0.59186175187566459</v>
      </c>
      <c r="AG28" s="60">
        <f t="shared" si="7"/>
        <v>0.95340101086306428</v>
      </c>
      <c r="AH28" s="61">
        <v>0</v>
      </c>
      <c r="AI28" s="57">
        <v>0</v>
      </c>
      <c r="AJ28" s="57">
        <v>0</v>
      </c>
      <c r="AK28" s="62">
        <f t="shared" si="8"/>
        <v>0</v>
      </c>
    </row>
    <row r="29" spans="2:37" x14ac:dyDescent="0.2">
      <c r="B29" s="34">
        <v>130</v>
      </c>
      <c r="C29" s="35">
        <v>5.0000000000000197E-2</v>
      </c>
      <c r="F29" s="68" t="s">
        <v>186</v>
      </c>
      <c r="G29" s="68" t="s">
        <v>187</v>
      </c>
      <c r="H29" s="66">
        <v>0</v>
      </c>
      <c r="I29" s="39">
        <f t="shared" si="0"/>
        <v>0</v>
      </c>
      <c r="J29" s="39">
        <f t="shared" si="1"/>
        <v>0</v>
      </c>
      <c r="L29" s="68" t="s">
        <v>186</v>
      </c>
      <c r="M29" s="68" t="s">
        <v>187</v>
      </c>
      <c r="N29" s="39">
        <v>6.83</v>
      </c>
      <c r="O29" s="39">
        <f t="shared" si="2"/>
        <v>3.415E-2</v>
      </c>
      <c r="P29" s="39">
        <f t="shared" si="3"/>
        <v>0.68299999999999728</v>
      </c>
      <c r="R29" s="68" t="s">
        <v>186</v>
      </c>
      <c r="S29" s="68" t="s">
        <v>187</v>
      </c>
      <c r="T29" s="39">
        <v>0</v>
      </c>
      <c r="U29" s="39">
        <f t="shared" si="4"/>
        <v>0</v>
      </c>
      <c r="V29" s="39">
        <f t="shared" si="5"/>
        <v>0</v>
      </c>
      <c r="Y29" s="70" t="s">
        <v>62</v>
      </c>
      <c r="Z29" s="71">
        <f>SUM(Z21:Z28)</f>
        <v>6.7409573754789172</v>
      </c>
      <c r="AA29" s="72">
        <f>STDEV(J87,J125,J277,J15,J53,J91,J129,J167,J243,J281,J357,J433,J509,J547,J585,J661,J699,J737,J775,J813,J851,J927,J965,J1003,J1041,J1079,J1117,J19,J57,J95,J133,J171,J209,J247,J285,J361,J399,J437,J475,J513,J551,J589,J665,J703,J741,J779,J817,J855,J893,J931,J969,J1007,J1045,J1083,J1121,J1159,J25,J63,J101,J139,J177,J291,J519,J595,J671,J709,J747,J785,J823,J861,J937,J975,J1013,J1089,J109,J299,J527,J983,J189,J303,J531)</f>
        <v>4.6030255289052064</v>
      </c>
      <c r="AB29" s="72">
        <f>AA29/SQRT(COUNT(J87,J125,J277,J15,J53,J91,J129,J167,J243,J281,J357,J433,J509,J547,J585,J661,J699,J737,J775,J813,J851,J927,J965,J1003,J1041,J1079,J1117,J19,J57,J95,J133,J171,J209,J247,J285,J361,J399,J437,J475,J513,J551,J589,J665,J703,J741,J779,J817,J855,J893,J931,J969,J1007,J1045,J1083,J1121,J1159,J25,J63,J101,J139,J177,J291,J519,J595,J671,J709,J747,J785,J823,J861,J937,J975,J1013,J1089,J109,J299,J527,J983,J189,J303,J531))</f>
        <v>0.51144728098946735</v>
      </c>
      <c r="AC29" s="73">
        <f t="shared" si="6"/>
        <v>33.359729252060085</v>
      </c>
      <c r="AD29" s="74">
        <f>SUM(AD21:AD28)</f>
        <v>86.849833333332981</v>
      </c>
      <c r="AE29" s="72">
        <f>STDEV(AE21,P13,P89,P15,P53,P91,P17,P55,P93,P19,P57,P95,P25,P63,P101,P33,P71,P109,P37,P75,P113)</f>
        <v>24.542226814207286</v>
      </c>
      <c r="AF29" s="72">
        <f>AE29/SQRT(COUNT(AE21,P13,P89,P15,P53,P91,P17,P55,P93,P19,P57,P95,P25,P63,P101,P33,P71,P109,P37,P75,P113))</f>
        <v>5.3555529570895146</v>
      </c>
      <c r="AG29" s="75">
        <f t="shared" si="7"/>
        <v>50.924181361186129</v>
      </c>
      <c r="AH29" s="76">
        <f>SUM(AH21:AH28)</f>
        <v>140.09449999999941</v>
      </c>
      <c r="AI29" s="72">
        <f>STDEV(AI21,V15,V53,V91,V17,V93,V19,V57,V95,V25,V63,V101,V33,V109)</f>
        <v>52.620383639812786</v>
      </c>
      <c r="AJ29" s="72">
        <f>AI29/SQRT(COUNT(AI21,V15,V53,V91,V17,V93,V19,V57,V95,V25,V63,V101,V33,V109))</f>
        <v>14.063389081484583</v>
      </c>
      <c r="AK29" s="77">
        <f t="shared" si="8"/>
        <v>59.831644822679685</v>
      </c>
    </row>
    <row r="30" spans="2:37" x14ac:dyDescent="0.2">
      <c r="B30" s="34">
        <v>110</v>
      </c>
      <c r="C30" s="35">
        <v>5.0000000000000197E-2</v>
      </c>
      <c r="F30" s="47" t="s">
        <v>44</v>
      </c>
      <c r="G30" s="47" t="s">
        <v>188</v>
      </c>
      <c r="H30" s="39">
        <v>0</v>
      </c>
      <c r="I30" s="39">
        <f t="shared" si="0"/>
        <v>0</v>
      </c>
      <c r="J30" s="39">
        <f t="shared" si="1"/>
        <v>0</v>
      </c>
      <c r="L30" s="68" t="s">
        <v>44</v>
      </c>
      <c r="M30" s="68" t="s">
        <v>188</v>
      </c>
      <c r="N30" s="39">
        <v>55.65</v>
      </c>
      <c r="O30" s="39">
        <f t="shared" si="2"/>
        <v>0.27825</v>
      </c>
      <c r="P30" s="39">
        <f t="shared" si="3"/>
        <v>5.5649999999999782</v>
      </c>
      <c r="R30" s="47" t="s">
        <v>44</v>
      </c>
      <c r="S30" s="47" t="s">
        <v>188</v>
      </c>
      <c r="T30" s="39">
        <v>2.33</v>
      </c>
      <c r="U30" s="39">
        <f t="shared" si="4"/>
        <v>5.8250000000000003E-2</v>
      </c>
      <c r="V30" s="39">
        <f t="shared" si="5"/>
        <v>1.1649999999999954</v>
      </c>
      <c r="Y30" s="55" t="s">
        <v>37</v>
      </c>
      <c r="Z30" s="56">
        <f>AVERAGE(J58,J96,J172,J286,J514,J932,J970)</f>
        <v>0.22471428571428551</v>
      </c>
      <c r="AA30" s="57">
        <f>STDEV(J58,J96,J172,J286,J514,J932,J970)</f>
        <v>0.20331069350931377</v>
      </c>
      <c r="AB30" s="57">
        <f>AA30/SQRT(COUNT(J58,J96,J172,J286,J514,J932,J970))</f>
        <v>7.6844219129388297E-2</v>
      </c>
      <c r="AC30" s="58">
        <f t="shared" si="6"/>
        <v>1.1120687037375085</v>
      </c>
      <c r="AD30" s="59">
        <f>AVERAGE(P20,P58,P96)</f>
        <v>1.2549999999999948</v>
      </c>
      <c r="AE30" s="57">
        <f>STDEV(P20,P58,P96)</f>
        <v>0.85217310448053574</v>
      </c>
      <c r="AF30" s="57">
        <f>AE30/SQRT(COUNT(P20,P58,P96))</f>
        <v>0.4920023712679964</v>
      </c>
      <c r="AG30" s="60">
        <f t="shared" si="7"/>
        <v>0.7358660938703232</v>
      </c>
      <c r="AH30" s="61">
        <f>AVERAGE(V20,V58,V96)</f>
        <v>1.3393333333333279</v>
      </c>
      <c r="AI30" s="57">
        <f>STDEV(V20,V58,V96)</f>
        <v>0.81923216082703199</v>
      </c>
      <c r="AJ30" s="57">
        <f>AI30/SQRT(COUNT(V20,V58,V96))</f>
        <v>0.47298390858228573</v>
      </c>
      <c r="AK30" s="62">
        <f t="shared" si="8"/>
        <v>0.57200329990953014</v>
      </c>
    </row>
    <row r="31" spans="2:37" x14ac:dyDescent="0.2">
      <c r="B31" s="34">
        <v>680</v>
      </c>
      <c r="C31" s="35">
        <v>5.0000000000000197E-2</v>
      </c>
      <c r="F31" s="68" t="s">
        <v>164</v>
      </c>
      <c r="G31" s="68" t="s">
        <v>189</v>
      </c>
      <c r="H31" s="66">
        <v>0</v>
      </c>
      <c r="I31" s="39">
        <f t="shared" si="0"/>
        <v>0</v>
      </c>
      <c r="J31" s="39">
        <f t="shared" si="1"/>
        <v>0</v>
      </c>
      <c r="L31" s="68" t="s">
        <v>164</v>
      </c>
      <c r="M31" s="68" t="s">
        <v>189</v>
      </c>
      <c r="N31" s="39">
        <v>6.83</v>
      </c>
      <c r="O31" s="39">
        <f t="shared" si="2"/>
        <v>3.415E-2</v>
      </c>
      <c r="P31" s="39">
        <f t="shared" si="3"/>
        <v>0.68299999999999728</v>
      </c>
      <c r="R31" s="68" t="s">
        <v>164</v>
      </c>
      <c r="S31" s="68" t="s">
        <v>189</v>
      </c>
      <c r="T31" s="39">
        <v>0</v>
      </c>
      <c r="U31" s="39">
        <f t="shared" si="4"/>
        <v>0</v>
      </c>
      <c r="V31" s="39">
        <f t="shared" si="5"/>
        <v>0</v>
      </c>
      <c r="Y31" s="55" t="s">
        <v>171</v>
      </c>
      <c r="Z31" s="56">
        <f>AVERAGE(J97,J287)</f>
        <v>0.18599999999999997</v>
      </c>
      <c r="AA31" s="57">
        <f>STDEV(J97,J287)</f>
        <v>3.535533905932739E-2</v>
      </c>
      <c r="AB31" s="57">
        <f>AA31/SQRT(COUNT(J97,J287))</f>
        <v>2.5000000000000008E-2</v>
      </c>
      <c r="AC31" s="58">
        <f t="shared" si="6"/>
        <v>0.92047899063333583</v>
      </c>
      <c r="AD31" s="59">
        <f>AVERAGE(P21,P97)</f>
        <v>0.43999999999999823</v>
      </c>
      <c r="AE31" s="57">
        <f>STDEV(P21,P97)</f>
        <v>0.35496760415564538</v>
      </c>
      <c r="AF31" s="57">
        <f>AE31/SQRT(COUNT(P21,P97))</f>
        <v>0.25099999999999895</v>
      </c>
      <c r="AG31" s="60">
        <f t="shared" si="7"/>
        <v>0.25799289346847987</v>
      </c>
      <c r="AH31" s="61">
        <f>AVERAGE(V21,V59,V97)</f>
        <v>0.60499999999999765</v>
      </c>
      <c r="AI31" s="57">
        <f>STDEV(V21,V59,V97)</f>
        <v>0.29962476533157129</v>
      </c>
      <c r="AJ31" s="57">
        <f>AI31/SQRT(COUNT(V21,V59,V97))</f>
        <v>0.17298843892006113</v>
      </c>
      <c r="AK31" s="62">
        <f t="shared" si="8"/>
        <v>0.25838377036729654</v>
      </c>
    </row>
    <row r="32" spans="2:37" x14ac:dyDescent="0.2">
      <c r="B32" s="34">
        <v>853</v>
      </c>
      <c r="C32" s="35">
        <v>5.0000000000000197E-2</v>
      </c>
      <c r="F32" s="47" t="s">
        <v>166</v>
      </c>
      <c r="G32" s="47" t="s">
        <v>190</v>
      </c>
      <c r="H32" s="39">
        <v>0</v>
      </c>
      <c r="I32" s="39">
        <f t="shared" si="0"/>
        <v>0</v>
      </c>
      <c r="J32" s="39">
        <f t="shared" si="1"/>
        <v>0</v>
      </c>
      <c r="L32" s="47" t="s">
        <v>166</v>
      </c>
      <c r="M32" s="47" t="s">
        <v>190</v>
      </c>
      <c r="N32" s="39">
        <v>3.98</v>
      </c>
      <c r="O32" s="39">
        <f t="shared" si="2"/>
        <v>1.9899999999999998E-2</v>
      </c>
      <c r="P32" s="39">
        <f t="shared" si="3"/>
        <v>0.39799999999999836</v>
      </c>
      <c r="R32" s="47" t="s">
        <v>166</v>
      </c>
      <c r="S32" s="47" t="s">
        <v>190</v>
      </c>
      <c r="T32" s="39">
        <v>0</v>
      </c>
      <c r="U32" s="39">
        <f t="shared" si="4"/>
        <v>0</v>
      </c>
      <c r="V32" s="39">
        <f t="shared" si="5"/>
        <v>0</v>
      </c>
      <c r="Y32" s="55" t="s">
        <v>38</v>
      </c>
      <c r="Z32" s="56">
        <f>AVERAGE(J99)</f>
        <v>8.4000000000000005E-2</v>
      </c>
      <c r="AA32" s="57">
        <v>2.1000000000000001E-2</v>
      </c>
      <c r="AB32" s="57">
        <v>0.01</v>
      </c>
      <c r="AC32" s="58">
        <f t="shared" si="6"/>
        <v>0.41570018931828079</v>
      </c>
      <c r="AD32" s="59">
        <f>AVERAGE(P23,P99)</f>
        <v>0.26999999999999896</v>
      </c>
      <c r="AE32" s="57">
        <f>STDEV(P23,P99)</f>
        <v>0.1994041122946057</v>
      </c>
      <c r="AF32" s="57">
        <f>AE32/SQRT(COUNT(P23,P99))</f>
        <v>0.14099999999999949</v>
      </c>
      <c r="AG32" s="60">
        <f t="shared" si="7"/>
        <v>0.15831382099202179</v>
      </c>
      <c r="AH32" s="61">
        <f>AVERAGE(V99)</f>
        <v>0.46499999999999825</v>
      </c>
      <c r="AI32" s="57">
        <v>0.13900000000000001</v>
      </c>
      <c r="AJ32" s="57">
        <v>8.5999999999999993E-2</v>
      </c>
      <c r="AK32" s="62">
        <f t="shared" si="8"/>
        <v>0.19859248466246759</v>
      </c>
    </row>
    <row r="33" spans="1:37" x14ac:dyDescent="0.2">
      <c r="B33" s="34">
        <v>117</v>
      </c>
      <c r="C33" s="35">
        <v>5.0000000000000197E-2</v>
      </c>
      <c r="F33" s="47" t="s">
        <v>34</v>
      </c>
      <c r="G33" s="47" t="s">
        <v>191</v>
      </c>
      <c r="H33" s="39">
        <v>0</v>
      </c>
      <c r="I33" s="39">
        <f t="shared" si="0"/>
        <v>0</v>
      </c>
      <c r="J33" s="39">
        <f t="shared" si="1"/>
        <v>0</v>
      </c>
      <c r="L33" s="47" t="s">
        <v>34</v>
      </c>
      <c r="M33" s="47" t="s">
        <v>191</v>
      </c>
      <c r="N33" s="39">
        <v>29.05</v>
      </c>
      <c r="O33" s="39">
        <f t="shared" si="2"/>
        <v>0.14524999999999999</v>
      </c>
      <c r="P33" s="39">
        <f t="shared" si="3"/>
        <v>2.9049999999999883</v>
      </c>
      <c r="R33" s="47" t="s">
        <v>34</v>
      </c>
      <c r="S33" s="47" t="s">
        <v>191</v>
      </c>
      <c r="T33" s="39">
        <v>5.17</v>
      </c>
      <c r="U33" s="39">
        <f t="shared" si="4"/>
        <v>0.12925</v>
      </c>
      <c r="V33" s="39">
        <f t="shared" si="5"/>
        <v>2.5849999999999898</v>
      </c>
      <c r="Y33" s="55" t="s">
        <v>60</v>
      </c>
      <c r="Z33" s="56">
        <f>AVERAGE(J102,J292)</f>
        <v>0.20399999999999996</v>
      </c>
      <c r="AA33" s="57">
        <f>STDEV(J102,J292)</f>
        <v>3.3941125496954078E-2</v>
      </c>
      <c r="AB33" s="57">
        <f>AA33/SQRT(COUNT(J102,J292))</f>
        <v>2.3999999999999855E-2</v>
      </c>
      <c r="AC33" s="58">
        <f t="shared" si="6"/>
        <v>1.0095576026301103</v>
      </c>
      <c r="AD33" s="59">
        <f>AVERAGE(P26,P102)</f>
        <v>0.48799999999999805</v>
      </c>
      <c r="AE33" s="57">
        <f>STDEV(P26,P102)</f>
        <v>0.40587929240107662</v>
      </c>
      <c r="AF33" s="57">
        <f>AE33/SQRT(COUNT(P26,P102))</f>
        <v>0.28699999999999881</v>
      </c>
      <c r="AG33" s="60">
        <f t="shared" si="7"/>
        <v>0.28613757275595042</v>
      </c>
      <c r="AH33" s="61">
        <f>AVERAGE(V26,V102)</f>
        <v>0.88499999999999646</v>
      </c>
      <c r="AI33" s="57">
        <f>STDEV(V26,V102)</f>
        <v>0.10606601717798152</v>
      </c>
      <c r="AJ33" s="57">
        <f>AI33/SQRT(COUNT(V26,V102))</f>
        <v>7.4999999999999567E-2</v>
      </c>
      <c r="AK33" s="62">
        <f t="shared" si="8"/>
        <v>0.37796634177695437</v>
      </c>
    </row>
    <row r="34" spans="1:37" x14ac:dyDescent="0.2">
      <c r="B34" s="34">
        <v>103</v>
      </c>
      <c r="C34" s="35">
        <v>5.0000000000000197E-2</v>
      </c>
      <c r="F34" s="47" t="s">
        <v>27</v>
      </c>
      <c r="G34" s="47" t="s">
        <v>192</v>
      </c>
      <c r="H34" s="39">
        <v>0</v>
      </c>
      <c r="I34" s="39">
        <f t="shared" si="0"/>
        <v>0</v>
      </c>
      <c r="J34" s="39">
        <f t="shared" si="1"/>
        <v>0</v>
      </c>
      <c r="L34" s="47" t="s">
        <v>27</v>
      </c>
      <c r="M34" s="47" t="s">
        <v>192</v>
      </c>
      <c r="N34" s="39">
        <v>24.68</v>
      </c>
      <c r="O34" s="39">
        <f t="shared" si="2"/>
        <v>0.12340000000000001</v>
      </c>
      <c r="P34" s="39">
        <f t="shared" si="3"/>
        <v>2.4679999999999906</v>
      </c>
      <c r="R34" s="47" t="s">
        <v>27</v>
      </c>
      <c r="S34" s="47" t="s">
        <v>192</v>
      </c>
      <c r="T34" s="39">
        <v>6.17</v>
      </c>
      <c r="U34" s="39">
        <f t="shared" si="4"/>
        <v>0.15425</v>
      </c>
      <c r="V34" s="39">
        <f t="shared" si="5"/>
        <v>3.084999999999988</v>
      </c>
      <c r="Y34" s="69" t="s">
        <v>40</v>
      </c>
      <c r="Z34" s="56">
        <v>0</v>
      </c>
      <c r="AA34" s="57">
        <v>0</v>
      </c>
      <c r="AB34" s="57">
        <v>0</v>
      </c>
      <c r="AC34" s="58">
        <f t="shared" si="6"/>
        <v>0</v>
      </c>
      <c r="AD34" s="59">
        <v>0</v>
      </c>
      <c r="AE34" s="57">
        <v>0</v>
      </c>
      <c r="AF34" s="57">
        <v>0</v>
      </c>
      <c r="AG34" s="60">
        <f t="shared" si="7"/>
        <v>0</v>
      </c>
      <c r="AH34" s="61">
        <v>0</v>
      </c>
      <c r="AI34" s="57">
        <v>0</v>
      </c>
      <c r="AJ34" s="57">
        <v>0</v>
      </c>
      <c r="AK34" s="62">
        <f t="shared" si="8"/>
        <v>0</v>
      </c>
    </row>
    <row r="35" spans="1:37" x14ac:dyDescent="0.2">
      <c r="B35" s="34">
        <v>12</v>
      </c>
      <c r="C35" s="35">
        <v>5.0000000000000197E-2</v>
      </c>
      <c r="F35" s="47" t="s">
        <v>45</v>
      </c>
      <c r="G35" s="47" t="s">
        <v>193</v>
      </c>
      <c r="H35" s="39">
        <v>19.54</v>
      </c>
      <c r="I35" s="39">
        <f t="shared" si="0"/>
        <v>9.7699999999999995E-2</v>
      </c>
      <c r="J35" s="39">
        <f t="shared" si="1"/>
        <v>1.9539999999999997</v>
      </c>
      <c r="L35" s="68" t="s">
        <v>45</v>
      </c>
      <c r="M35" s="68" t="s">
        <v>193</v>
      </c>
      <c r="N35" s="39">
        <v>472.19</v>
      </c>
      <c r="O35" s="39">
        <f t="shared" si="2"/>
        <v>2.3609499999999999</v>
      </c>
      <c r="P35" s="39">
        <f t="shared" si="3"/>
        <v>47.218999999999809</v>
      </c>
      <c r="R35" s="47" t="s">
        <v>45</v>
      </c>
      <c r="S35" s="47" t="s">
        <v>193</v>
      </c>
      <c r="T35" s="39"/>
      <c r="U35" s="39">
        <f t="shared" si="4"/>
        <v>0</v>
      </c>
      <c r="V35" s="39">
        <f t="shared" si="5"/>
        <v>0</v>
      </c>
      <c r="Y35" s="69" t="s">
        <v>186</v>
      </c>
      <c r="Z35" s="56">
        <f>AVERAGE(J105)</f>
        <v>0.182</v>
      </c>
      <c r="AA35" s="57">
        <v>5.3999999999999999E-2</v>
      </c>
      <c r="AB35" s="57">
        <v>2.8000000000000001E-2</v>
      </c>
      <c r="AC35" s="58">
        <f t="shared" si="6"/>
        <v>0.90068374352294167</v>
      </c>
      <c r="AD35" s="59">
        <f>AVERAGE(P29)</f>
        <v>0.68299999999999728</v>
      </c>
      <c r="AE35" s="57">
        <v>0.129</v>
      </c>
      <c r="AF35" s="57">
        <v>9.2999999999999999E-2</v>
      </c>
      <c r="AG35" s="60">
        <f t="shared" si="7"/>
        <v>0.40047533236129951</v>
      </c>
      <c r="AH35" s="61">
        <v>0</v>
      </c>
      <c r="AI35" s="57">
        <v>0</v>
      </c>
      <c r="AJ35" s="57">
        <v>0</v>
      </c>
      <c r="AK35" s="62">
        <f t="shared" si="8"/>
        <v>0</v>
      </c>
    </row>
    <row r="36" spans="1:37" x14ac:dyDescent="0.2">
      <c r="A36" s="37" t="s">
        <v>204</v>
      </c>
      <c r="F36" s="47" t="s">
        <v>169</v>
      </c>
      <c r="G36" s="47" t="s">
        <v>194</v>
      </c>
      <c r="H36" s="39">
        <v>0</v>
      </c>
      <c r="I36" s="39">
        <f t="shared" si="0"/>
        <v>0</v>
      </c>
      <c r="J36" s="39">
        <f t="shared" si="1"/>
        <v>0</v>
      </c>
      <c r="L36" s="47" t="s">
        <v>169</v>
      </c>
      <c r="M36" s="47" t="s">
        <v>194</v>
      </c>
      <c r="N36" s="39">
        <v>2.34</v>
      </c>
      <c r="O36" s="39">
        <f t="shared" si="2"/>
        <v>1.1699999999999999E-2</v>
      </c>
      <c r="P36" s="39">
        <f t="shared" si="3"/>
        <v>0.23399999999999904</v>
      </c>
      <c r="R36" s="47" t="s">
        <v>169</v>
      </c>
      <c r="S36" s="47" t="s">
        <v>194</v>
      </c>
      <c r="T36" s="39">
        <v>62</v>
      </c>
      <c r="U36" s="39">
        <f t="shared" si="4"/>
        <v>1.55</v>
      </c>
      <c r="V36" s="39">
        <f t="shared" si="5"/>
        <v>30.999999999999879</v>
      </c>
      <c r="Y36" s="70" t="s">
        <v>206</v>
      </c>
      <c r="Z36" s="71">
        <f>SUM(Z30:Z35)</f>
        <v>0.88071428571428534</v>
      </c>
      <c r="AA36" s="72">
        <f>STDEV(J58,J96,J172,J286,J514,J932,J970,J97,J287,AA32,J102,J292,AA35)</f>
        <v>0.1597378862627534</v>
      </c>
      <c r="AB36" s="72">
        <f>AA36/SQRT(COUNT(J58,J96,J172,J286,J514,J932,J970,J97,J287,AA32,J102,J292,AA35))</f>
        <v>4.430331842727632E-2</v>
      </c>
      <c r="AC36" s="73">
        <f t="shared" si="6"/>
        <v>4.358489229842176</v>
      </c>
      <c r="AD36" s="74">
        <f>SUM(AD30:AD35)</f>
        <v>3.1359999999999872</v>
      </c>
      <c r="AE36" s="72">
        <f>STDEV(P20,P58,P96,P21,P97,P23,P99,P26,P102,AE35)</f>
        <v>0.6304754819446432</v>
      </c>
      <c r="AF36" s="72">
        <f>AE36/SQRT(COUNT(P20,P58,P96,P21,P97,P23,P99,P26,P102,AE35))</f>
        <v>0.19937385318374376</v>
      </c>
      <c r="AG36" s="75">
        <f t="shared" si="7"/>
        <v>1.8387857134480747</v>
      </c>
      <c r="AH36" s="76">
        <f>SUM(AH30:AH35)</f>
        <v>3.29433333333332</v>
      </c>
      <c r="AI36" s="72">
        <f>STDEV(V20,V58,V96,V21,V59,V97,AI32,V26,V102)</f>
        <v>0.60606616342148745</v>
      </c>
      <c r="AJ36" s="72">
        <f>AI36/SQRT(COUNT(V20,V58,V96,V21,V59,V97,AI32,V26,V102))</f>
        <v>0.20202205447382915</v>
      </c>
      <c r="AK36" s="77">
        <f t="shared" si="8"/>
        <v>1.4069458967162487</v>
      </c>
    </row>
    <row r="37" spans="1:37" x14ac:dyDescent="0.2">
      <c r="B37" s="78" t="s">
        <v>195</v>
      </c>
      <c r="C37" s="39">
        <v>5.0000000000000197E-2</v>
      </c>
      <c r="F37" s="47" t="s">
        <v>35</v>
      </c>
      <c r="G37" s="47" t="s">
        <v>196</v>
      </c>
      <c r="H37" s="79">
        <v>0</v>
      </c>
      <c r="I37" s="39">
        <f t="shared" si="0"/>
        <v>0</v>
      </c>
      <c r="J37" s="39">
        <f t="shared" si="1"/>
        <v>0</v>
      </c>
      <c r="L37" s="47" t="s">
        <v>35</v>
      </c>
      <c r="M37" s="47" t="s">
        <v>196</v>
      </c>
      <c r="N37" s="39">
        <v>28.07</v>
      </c>
      <c r="O37" s="39">
        <f t="shared" si="2"/>
        <v>0.14035</v>
      </c>
      <c r="P37" s="39">
        <f t="shared" si="3"/>
        <v>2.8069999999999888</v>
      </c>
      <c r="R37" s="47" t="s">
        <v>35</v>
      </c>
      <c r="S37" s="47" t="s">
        <v>196</v>
      </c>
      <c r="T37" s="39">
        <v>0</v>
      </c>
      <c r="U37" s="39">
        <f t="shared" si="4"/>
        <v>0</v>
      </c>
      <c r="V37" s="39">
        <f t="shared" si="5"/>
        <v>0</v>
      </c>
      <c r="Y37" s="55" t="s">
        <v>42</v>
      </c>
      <c r="Z37" s="56">
        <f>AVERAGE(J98,J288,J516)</f>
        <v>0.27799999999999991</v>
      </c>
      <c r="AA37" s="57">
        <f>STDEV(J98,J288,J516)</f>
        <v>0.17165954677791748</v>
      </c>
      <c r="AB37" s="57">
        <f>AA37/SQRT(COUNT(J98,J288,J516))</f>
        <v>9.9107685541199822E-2</v>
      </c>
      <c r="AC37" s="58">
        <f t="shared" si="6"/>
        <v>1.3757696741724048</v>
      </c>
      <c r="AD37" s="59">
        <f>AVERAGE(P22,P98)</f>
        <v>1.010499999999996</v>
      </c>
      <c r="AE37" s="57">
        <f>STDEV(P22,P98)</f>
        <v>0.63427478272433113</v>
      </c>
      <c r="AF37" s="57">
        <f>AE37/SQRT(COUNT(P22,P98))</f>
        <v>0.44849999999999857</v>
      </c>
      <c r="AG37" s="60">
        <f t="shared" si="7"/>
        <v>0.59250413374977029</v>
      </c>
      <c r="AH37" s="61">
        <f>AVERAGE(V60,V98)</f>
        <v>0.498999999999998</v>
      </c>
      <c r="AI37" s="57">
        <f>STDEV(V60,V98)</f>
        <v>0.19940411229460561</v>
      </c>
      <c r="AJ37" s="80">
        <f>AI37/SQRT(COUNT(V60,V98))</f>
        <v>0.14099999999999943</v>
      </c>
      <c r="AK37" s="62">
        <f t="shared" si="8"/>
        <v>0.21311322547649744</v>
      </c>
    </row>
    <row r="38" spans="1:37" x14ac:dyDescent="0.2">
      <c r="B38" s="78" t="s">
        <v>197</v>
      </c>
      <c r="C38" s="39">
        <v>5.0000000000000197E-2</v>
      </c>
      <c r="H38" s="39" t="s">
        <v>221</v>
      </c>
      <c r="I38" s="39">
        <f>SUM(I8:I36)</f>
        <v>0.23430000000000001</v>
      </c>
      <c r="L38" s="81"/>
      <c r="M38" s="81"/>
      <c r="N38" s="39" t="s">
        <v>221</v>
      </c>
      <c r="O38" s="39">
        <f>SUM(O4:O37)</f>
        <v>13.237349999999999</v>
      </c>
      <c r="P38" s="81"/>
      <c r="T38" s="39" t="s">
        <v>221</v>
      </c>
      <c r="U38" s="39">
        <f>SUM(U4:U37)</f>
        <v>15.564249999999996</v>
      </c>
      <c r="Y38" s="55" t="s">
        <v>43</v>
      </c>
      <c r="Z38" s="56">
        <f>AVERAGE(J28,J66,J104,J142,J180,J294,J370,J446,J522,J598,J674,J712,J750,J826,J864,J940,J978,J1016,J1092)</f>
        <v>0.54394736842105174</v>
      </c>
      <c r="AA38" s="57">
        <f>STDEV(J28,J66,J104,J142,J180,J294,J370,J446,J522,J598,J674,J712,J750,J826,J864,J940,J978,J1016,J1092)</f>
        <v>0.6085889393309929</v>
      </c>
      <c r="AB38" s="57">
        <f>AA38/SQRT(COUNT(J28,J66,J104,J142,J180,J294,J370,J446,J522,J598,J674,J712,J750,J826,J864,J940,J978,J1016,J1092))</f>
        <v>0.13961987814212651</v>
      </c>
      <c r="AC38" s="58">
        <f t="shared" si="6"/>
        <v>2.691893143235855</v>
      </c>
      <c r="AD38" s="59">
        <f>AVERAGE(P28,P66,P104)</f>
        <v>1.4463333333333275</v>
      </c>
      <c r="AE38" s="57">
        <f>STDEV(P28,P66,P104)</f>
        <v>1.0220789271545156</v>
      </c>
      <c r="AF38" s="57">
        <f>AE38/SQRT(COUNT(P28,P66,P104))</f>
        <v>0.59009754372570355</v>
      </c>
      <c r="AG38" s="60">
        <f t="shared" si="7"/>
        <v>0.84805391269676844</v>
      </c>
      <c r="AH38" s="61">
        <f>AVERAGE(V28,V66,V104)</f>
        <v>2.0949999999999918</v>
      </c>
      <c r="AI38" s="57">
        <f>STDEV(V28,V66,V104)</f>
        <v>7.8581168227508033E-2</v>
      </c>
      <c r="AJ38" s="57">
        <f>AI38/SQRT(COUNT(V28,V66,V104))</f>
        <v>4.5368858629387034E-2</v>
      </c>
      <c r="AK38" s="62">
        <f t="shared" si="8"/>
        <v>0.8947338825115474</v>
      </c>
    </row>
    <row r="39" spans="1:37" x14ac:dyDescent="0.2">
      <c r="B39" s="78" t="s">
        <v>198</v>
      </c>
      <c r="C39" s="39">
        <v>5.0000000000000197E-2</v>
      </c>
      <c r="Y39" s="55" t="s">
        <v>44</v>
      </c>
      <c r="Z39" s="56">
        <f>AVERAGE(J68,J106,J144,J182,J296,J524,J600,J676,J752,J942,J1018)</f>
        <v>1.0304545454545446</v>
      </c>
      <c r="AA39" s="57">
        <f>STDEV(J68,J106,J144,J182,J296,J524,J600,J676,J752,J942,J1018)</f>
        <v>1.1609036448936116</v>
      </c>
      <c r="AB39" s="57">
        <f>AA39/SQRT(COUNT(J68,J106,J144,J182,J296,J524,J600,J676,J752,J942,J1018))</f>
        <v>0.35002561889709949</v>
      </c>
      <c r="AC39" s="58">
        <f t="shared" si="6"/>
        <v>5.0995255908254427</v>
      </c>
      <c r="AD39" s="59">
        <f>AVERAGE(P30,P68,P106)</f>
        <v>4.0019999999999847</v>
      </c>
      <c r="AE39" s="57">
        <f>STDEV(P30,P68,P106)</f>
        <v>1.6252159856462092</v>
      </c>
      <c r="AF39" s="57">
        <f>AE39/SQRT(COUNT(P30,P68,P106))</f>
        <v>0.9383188868041219</v>
      </c>
      <c r="AG39" s="60">
        <f t="shared" si="7"/>
        <v>2.3465626355928562</v>
      </c>
      <c r="AH39" s="61">
        <f>AVERAGE(V30,V68,V106)</f>
        <v>1.3409999999999946</v>
      </c>
      <c r="AI39" s="57">
        <f>STDEV(V30,V68,V106)</f>
        <v>0.19968224758350686</v>
      </c>
      <c r="AJ39" s="57">
        <f>AI39/SQRT(COUNT(V30,V68,V106))</f>
        <v>0.11528659939472718</v>
      </c>
      <c r="AK39" s="62">
        <f t="shared" si="8"/>
        <v>0.57271510092982569</v>
      </c>
    </row>
    <row r="40" spans="1:37" ht="16" x14ac:dyDescent="0.2">
      <c r="A40" s="37" t="s">
        <v>205</v>
      </c>
      <c r="H40" s="82">
        <v>246</v>
      </c>
      <c r="I40" s="40"/>
      <c r="N40" s="36" t="s">
        <v>199</v>
      </c>
      <c r="T40" s="36" t="s">
        <v>200</v>
      </c>
      <c r="Y40" s="55" t="s">
        <v>45</v>
      </c>
      <c r="Z40" s="56">
        <f>AVERAGE(J35,J73,J111,J149,J187,J225,J263,J301,J377,J453,J529,J567,J605,J681,J719,J757,J795,J833,J871,J947,J985,J1023,J1061,J1099,J1137)</f>
        <v>4.9863999999999926</v>
      </c>
      <c r="AA40" s="57">
        <f>STDEV(J35,J73,J111,J149,J187,J225,J263,J301,J377,J453,J529,J567,J605,J681,J719,J757,J795,J833,J871,J947,J985,J1023,J1061,J1099,J1137)</f>
        <v>7.3706342671441787</v>
      </c>
      <c r="AB40" s="57">
        <f>AA40/SQRT(COUNT(J35,J73,J111,J149,J187,J225,J263,J301,J377,J453,J529,J567,J605,J681,J719,J757,J795,J833,J871,J947,J985,J1023,J1061,J1099,J1137))</f>
        <v>1.4741268534288356</v>
      </c>
      <c r="AC40" s="58">
        <f t="shared" si="6"/>
        <v>24.676755047817526</v>
      </c>
      <c r="AD40" s="59">
        <f>AVERAGE(P35,P73,P111)</f>
        <v>24.985333333333234</v>
      </c>
      <c r="AE40" s="57">
        <f>STDEV(P35,P73,P111)</f>
        <v>19.296527468260454</v>
      </c>
      <c r="AF40" s="57">
        <f>AE40/SQRT(COUNT(P35,P73,P111))</f>
        <v>11.140855328225181</v>
      </c>
      <c r="AG40" s="60">
        <f t="shared" si="7"/>
        <v>14.650087365775287</v>
      </c>
      <c r="AH40" s="61">
        <f>AVERAGE(V73,V111)</f>
        <v>16.741999999999933</v>
      </c>
      <c r="AI40" s="57">
        <f>STDEV(V73,V111)</f>
        <v>0.74670476093299232</v>
      </c>
      <c r="AJ40" s="57">
        <f>AI40/SQRT(COUNT(V73,V111))</f>
        <v>0.52799999999999869</v>
      </c>
      <c r="AK40" s="62">
        <f t="shared" si="8"/>
        <v>7.1501836090731867</v>
      </c>
    </row>
    <row r="41" spans="1:37" x14ac:dyDescent="0.2">
      <c r="B41" s="78" t="s">
        <v>201</v>
      </c>
      <c r="C41" s="39">
        <v>5.0000000000000197E-2</v>
      </c>
      <c r="F41" s="47" t="s">
        <v>216</v>
      </c>
      <c r="G41" s="47" t="s">
        <v>217</v>
      </c>
      <c r="H41" s="39" t="s">
        <v>218</v>
      </c>
      <c r="I41" s="39" t="s">
        <v>219</v>
      </c>
      <c r="J41" s="39" t="s">
        <v>220</v>
      </c>
      <c r="L41" s="47" t="s">
        <v>216</v>
      </c>
      <c r="M41" s="47" t="s">
        <v>217</v>
      </c>
      <c r="N41" s="39" t="s">
        <v>218</v>
      </c>
      <c r="O41" s="39" t="s">
        <v>219</v>
      </c>
      <c r="P41" s="39" t="s">
        <v>220</v>
      </c>
      <c r="R41" s="47" t="s">
        <v>216</v>
      </c>
      <c r="S41" s="48" t="s">
        <v>217</v>
      </c>
      <c r="T41" s="49" t="s">
        <v>218</v>
      </c>
      <c r="U41" s="49" t="s">
        <v>219</v>
      </c>
      <c r="V41" s="49" t="s">
        <v>220</v>
      </c>
      <c r="Y41" s="70" t="s">
        <v>207</v>
      </c>
      <c r="Z41" s="71">
        <f>SUM(Z37:Z40)</f>
        <v>6.8388019138755887</v>
      </c>
      <c r="AA41" s="72">
        <f>STDEV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1137)</f>
        <v>5.2811654389182348</v>
      </c>
      <c r="AB41" s="72">
        <f>AA41/SQRT(COUNT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1137))</f>
        <v>0.6934509951264044</v>
      </c>
      <c r="AC41" s="73">
        <f t="shared" si="6"/>
        <v>33.843943456051228</v>
      </c>
      <c r="AD41" s="74">
        <f>SUM(AD37:AD40)</f>
        <v>31.44416666666654</v>
      </c>
      <c r="AE41" s="72">
        <f>STDEV(P22,P98,P28,P66,P104,P30,P68,P106,P35,P73,P111)</f>
        <v>13.747457334490434</v>
      </c>
      <c r="AF41" s="72">
        <f>AE41/SQRT(COUNT(P22,P98,P28,P66,P104,P30,P68,P106,P35,P73,P111))</f>
        <v>4.1450143454476489</v>
      </c>
      <c r="AG41" s="75">
        <f t="shared" si="7"/>
        <v>18.437208047814678</v>
      </c>
      <c r="AH41" s="76">
        <f>SUM(AH37:AH40)</f>
        <v>20.676999999999918</v>
      </c>
      <c r="AI41" s="72">
        <f>STDEV(V60,V98,V28,V66,V104,V30,V68,V106,V73,V111)</f>
        <v>6.4955032650801066</v>
      </c>
      <c r="AJ41" s="72">
        <f>AI41/SQRT(COUNT(V60,V98,V28,V66,V104,V30,V68,V106,V73,V111))</f>
        <v>2.0540584866713587</v>
      </c>
      <c r="AK41" s="77">
        <f t="shared" si="8"/>
        <v>8.8307458179910565</v>
      </c>
    </row>
    <row r="42" spans="1:37" x14ac:dyDescent="0.2">
      <c r="B42" s="78" t="s">
        <v>202</v>
      </c>
      <c r="C42" s="39">
        <v>5.0000000000000197E-2</v>
      </c>
      <c r="F42" s="47" t="s">
        <v>147</v>
      </c>
      <c r="G42" s="47" t="s">
        <v>148</v>
      </c>
      <c r="H42" s="39">
        <v>0</v>
      </c>
      <c r="I42" s="39">
        <f t="shared" ref="I42:I75" si="9">(H42*5)/1000</f>
        <v>0</v>
      </c>
      <c r="J42" s="39">
        <f t="shared" ref="J42:J75" si="10">I42/$C$4</f>
        <v>0</v>
      </c>
      <c r="L42" s="47" t="s">
        <v>147</v>
      </c>
      <c r="M42" s="47" t="s">
        <v>148</v>
      </c>
      <c r="N42" s="39">
        <v>0</v>
      </c>
      <c r="O42" s="39">
        <f t="shared" ref="O42:O57" si="11">((N42*5)/1000)*5</f>
        <v>0</v>
      </c>
      <c r="P42" s="39">
        <f t="shared" ref="P42:P75" si="12">O42/$C$38</f>
        <v>0</v>
      </c>
      <c r="R42" s="47" t="s">
        <v>147</v>
      </c>
      <c r="S42" s="47" t="s">
        <v>148</v>
      </c>
      <c r="T42" s="39">
        <v>0</v>
      </c>
      <c r="U42" s="39">
        <f t="shared" ref="U42:U75" si="13">((T42*5)/1000)*2</f>
        <v>0</v>
      </c>
      <c r="V42" s="39">
        <f t="shared" ref="V42:V75" si="14">U42/$C$42</f>
        <v>0</v>
      </c>
      <c r="Y42" s="70" t="s">
        <v>65</v>
      </c>
      <c r="Z42" s="71">
        <f>Z41+Z36</f>
        <v>7.719516199589874</v>
      </c>
      <c r="AA42" s="72">
        <f>STDEV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,J58,J96,J172,J286,J514,J932,J970,J97,J287,AA32,J102,J292,AA35)</f>
        <v>4.8532036233044575</v>
      </c>
      <c r="AB42" s="72">
        <f>AA42/SQRT(COUNT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,J58,J96,J172,J286,J514,J932,J970,J97,J287,AA32,J102,J292,AA35))</f>
        <v>0.57596930436176808</v>
      </c>
      <c r="AC42" s="73">
        <f t="shared" si="6"/>
        <v>38.202432685893406</v>
      </c>
      <c r="AD42" s="74">
        <f>AD41+AD36</f>
        <v>34.580166666666528</v>
      </c>
      <c r="AE42" s="72">
        <f>STDEV(P22,P98,P28,P66,P104,P30,P68,P106,P35,P73,P111,P20,P58,P96,P21,P97,P23,P99,P26,P102,AE35)</f>
        <v>10.527782789226894</v>
      </c>
      <c r="AF42" s="72">
        <f>AE42/SQRT(COUNT(P22,P98,P28,P66,P104,P30,P68,P106,P35,P73,P111,P20,P58,P96,P21,P97,P23,P99,P26,P102,AE35))</f>
        <v>2.2973505491278843</v>
      </c>
      <c r="AG42" s="75">
        <f t="shared" si="7"/>
        <v>20.275993761262757</v>
      </c>
      <c r="AH42" s="76">
        <f>AH41+AH36</f>
        <v>23.971333333333238</v>
      </c>
      <c r="AI42" s="72">
        <f>STDEV(V60,V98,V28,V66,V104,V30,V68,V106,V73,V111,V20,V58,V96,V21,V59,V97,AI32,V26,V102)</f>
        <v>4.9704356981294477</v>
      </c>
      <c r="AJ42" s="72">
        <f>AI42/SQRT(COUNT(V60,V98,V28,V66,V104,V30,V68,V106,V73,V111,V20,V58,V96,V21,V59,V97,AI32,V26,V102))</f>
        <v>1.1402961533428051</v>
      </c>
      <c r="AK42" s="77">
        <f t="shared" si="8"/>
        <v>10.237691714707305</v>
      </c>
    </row>
    <row r="43" spans="1:37" x14ac:dyDescent="0.2">
      <c r="B43" s="78" t="s">
        <v>203</v>
      </c>
      <c r="C43" s="39">
        <v>5.0000000000000197E-2</v>
      </c>
      <c r="F43" s="47" t="s">
        <v>18</v>
      </c>
      <c r="G43" s="63" t="s">
        <v>149</v>
      </c>
      <c r="H43" s="39">
        <v>0</v>
      </c>
      <c r="I43" s="39">
        <f t="shared" si="9"/>
        <v>0</v>
      </c>
      <c r="J43" s="39">
        <f t="shared" si="10"/>
        <v>0</v>
      </c>
      <c r="L43" s="47" t="s">
        <v>18</v>
      </c>
      <c r="M43" s="63" t="s">
        <v>149</v>
      </c>
      <c r="N43" s="39">
        <v>0</v>
      </c>
      <c r="O43" s="39">
        <f t="shared" si="11"/>
        <v>0</v>
      </c>
      <c r="P43" s="39">
        <f t="shared" si="12"/>
        <v>0</v>
      </c>
      <c r="R43" s="47" t="s">
        <v>18</v>
      </c>
      <c r="S43" s="63" t="s">
        <v>149</v>
      </c>
      <c r="T43" s="39">
        <v>0</v>
      </c>
      <c r="U43" s="39">
        <f t="shared" si="13"/>
        <v>0</v>
      </c>
      <c r="V43" s="39">
        <f t="shared" si="14"/>
        <v>0</v>
      </c>
      <c r="Y43" s="70" t="s">
        <v>222</v>
      </c>
      <c r="Z43" s="71">
        <f>Z42+Z29+Z20</f>
        <v>20.206870758888545</v>
      </c>
      <c r="AA43" s="72">
        <f>STDEV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,J58,J96,J172,J286,J514,J932,J970,J97,J287,AA32,J102,J292,AA35,J87,J125,J277,J15,J53,J91,J129,J167,J243,J281,J357,J433,J509,J547,J585,J661,J699,J737,J775,J813,J851,J927,J965,J1003,J1041,J1079,J1117,J19,J57,J95,J133,J171,J209,J247,J285,J361,J399,J437,J475,J513,J551,J589,J665,J703,J741,J779,J817,J855,J893,J931,J969,J1007,J1045,J1083,J1121,J1159,J25,J63,J101,J139,J177,J291,J519,J595,J671,J709,J747,J785,J823,J861,J937,J975,J1013,J1089,J109,J299,J527,J983,J189,J303,J531,AA8,J48,J86,J124,J162,J276,J428,J504,J580,J656,J694,J732,J770,J846,J922,J88,J164,J278,J506,J924,J962,J14,J52,J90,J128,J166,J204,J242,J280,J318,J356,J394,J432,J470,J508,J546,J584,J622,J660,J698,J736,J774,J812,J850,J888,J926,J964,J1002,J1040,J1078,J1116,J1154,J54,J92,J130,J168,J282,J510,J586,J852,J928,J966,J18,J56,J94,J132,J170,J208,J246,J284,J322,J360,J398,J436,J474,J512,J550,J588,J626,J664,J702,J740,J778,J816,J854,J892,J930,J968,J1006,J1044,J1082,J1120,J1158,AA16,J72,J110,J148,J300,J528,J604,J756,J946,J984)</f>
        <v>3.8911153934953338</v>
      </c>
      <c r="AB43" s="72">
        <f>AA43/SQRT(COUNT(J98,J288,J516,J28,J66,J104,J142,J180,J294,J370,J446,J522,J598,J674,J712,J750,J826,J864,J940,J978,J1016,J1092,J68,J106,J144,J182,J296,J524,J600,J676,J752,J942,J1018,J35,J73,J111,J149,J187,J225,J263,J301,J377,J453,J529,J567,J605,J681,J719,J757,J795,J833,J871,J947,J985,J1023,J1061,J1099,J1137,J58,J96,J172,J286,J514,J932,J970,J97,J287,AA32,J102,J292,AA35,J87,J125,J277,J15,J53,J91,J129,J167,J243,J281,J357,J433,J509,J547,J585,J661,J699,J737,J775,J813,J851,J927,J965,J1003,J1041,J1079,J1117,J19,J57,J95,J133,J171,J209,J247,J285,J361,J399,J437,J475,J513,J551,J589,J665,J703,J741,J779,J817,J855,J893,J931,J969,J1007,J1045,J1083,J1121,J1159,J25,J63,J101,J139,J177,J291,J519,J595,J671,J709,J747,J785,J823,J861,J937,J975,J1013,J1089,J109,J299,J527,J983,J189,J303,J531,AA8,J48,J86,J124,J162,J276,J428,J504,J580,J656,J694,J732,J770,J846,J922,J88,J164,J278,J506,J924,J962,J14,J52,J90,J128,J166,J204,J242,J280,J318,J356,J394,J432,J470,J508,J546,J584,J622,J660,J698,J736,J774,J812,J850,J888,J926,J964,J1002,J1040,J1078,J1116,J1154,J54,J92,J130,J168,J282,J510,J586,J852,J928,J966,J18,J56,J94,J132,J170,J208,J246,J284,J322,J360,J398,J436,J474,J512,J550,J588,J626,J664,J702,J740,J778,J816,J854,J892,J930,J968,J1006,J1044,J1082,J1120,J1158,AA16,J72,J110,J148,J300,J528,J604,J756,J946,J984))</f>
        <v>0.24367109788221281</v>
      </c>
      <c r="AC43" s="73">
        <f t="shared" si="6"/>
        <v>100</v>
      </c>
      <c r="AD43" s="74">
        <f>AD42+AD29+AD20</f>
        <v>170.54733333333266</v>
      </c>
      <c r="AE43" s="72">
        <f>STDEV(P22,P98,P28,P66,P104,P30,P68,P106,P35,P73,P111,P20,P58,P96,P21,P97,P23,P99,P26,P102,AE35,AE21,P13,P89,P15,P53,P91,P17,P55,P93,P19,P57,P95,P25,P63,P101,P33,P71,P109,P37,P75,P113,AE8,AE9,P10,P48,P86,P12,P50,P88,P14,P52,P90,P16,P54,P92,P18,P56,P94,P24,P100,AE16,AE17,P34,P110,AE19)</f>
        <v>16.283814140961791</v>
      </c>
      <c r="AF43" s="72">
        <f>AE43/SQRT(COUNT(P22,P98,P28,P66,P104,P30,P68,P106,P35,P73,P111,P20,P58,P96,P21,P97,P23,P99,P26,P102,AE35,AE21,P13,P89,P15,P53,P91,P17,P55,P93,P19,P57,P95,P25,P63,P101,P33,P71,P109,P37,P75,P113,AE8,AE9,P10,P48,P86,P12,P50,P88,P14,P52,P90,P16,P54,P92,P18,P56,P94,P24,P100,AE16,AE17,P34,P110,AE19))</f>
        <v>2.0043989614413289</v>
      </c>
      <c r="AG43" s="75">
        <f t="shared" si="7"/>
        <v>99.999999999999986</v>
      </c>
      <c r="AH43" s="76">
        <f>AH42+AH29+AH20</f>
        <v>234.14783333333236</v>
      </c>
      <c r="AI43" s="72">
        <f>STDEV(V60,V98,V28,V66,V104,V30,V68,V106,V73,V111,V20,V58,V96,V21,V59,V97,AI32,V26,V102,AI21,V15,V53,V91,V17,V93,V19,V57,V95,V25,V63,V101,V33,V109,V10,V48,V86,V12,V50,V88,V14,V52,V90,V16,V92,V18,V56,V94,AI15,V34,V72,V110,V36,V74)</f>
        <v>29.623089570093576</v>
      </c>
      <c r="AJ43" s="72">
        <f>AI43/SQRT(COUNT(V60,V98,V28,V66,V104,V30,V68,V106,V73,V111,V20,V58,V96,V21,V59,V97,AI32,V26,V102,AI21,V15,V53,V91,V17,V93,V19,V57,V95,V25,V63,V101,V33,V109,V10,V48,V86,V12,V50,V88,V14,V52,V90,V16,V92,V18,V56,V94,AI15,V34,V72,V110,V36,V74))</f>
        <v>4.0690442892505816</v>
      </c>
      <c r="AK43" s="77">
        <f t="shared" si="8"/>
        <v>100</v>
      </c>
    </row>
    <row r="44" spans="1:37" x14ac:dyDescent="0.2">
      <c r="F44" s="47" t="s">
        <v>150</v>
      </c>
      <c r="G44" s="63" t="s">
        <v>151</v>
      </c>
      <c r="H44" s="39">
        <v>0</v>
      </c>
      <c r="I44" s="39">
        <f t="shared" si="9"/>
        <v>0</v>
      </c>
      <c r="J44" s="39">
        <f t="shared" si="10"/>
        <v>0</v>
      </c>
      <c r="L44" s="47" t="s">
        <v>150</v>
      </c>
      <c r="M44" s="63" t="s">
        <v>151</v>
      </c>
      <c r="N44" s="39">
        <v>0</v>
      </c>
      <c r="O44" s="39">
        <f t="shared" si="11"/>
        <v>0</v>
      </c>
      <c r="P44" s="39">
        <f t="shared" si="12"/>
        <v>0</v>
      </c>
      <c r="R44" s="47" t="s">
        <v>150</v>
      </c>
      <c r="S44" s="63" t="s">
        <v>151</v>
      </c>
      <c r="T44" s="39">
        <v>0</v>
      </c>
      <c r="U44" s="39">
        <f t="shared" si="13"/>
        <v>0</v>
      </c>
      <c r="V44" s="39">
        <f t="shared" si="14"/>
        <v>0</v>
      </c>
    </row>
    <row r="45" spans="1:37" x14ac:dyDescent="0.2">
      <c r="F45" s="47" t="s">
        <v>152</v>
      </c>
      <c r="G45" s="63" t="s">
        <v>153</v>
      </c>
      <c r="H45" s="39">
        <v>0</v>
      </c>
      <c r="I45" s="39">
        <f t="shared" si="9"/>
        <v>0</v>
      </c>
      <c r="J45" s="39">
        <f t="shared" si="10"/>
        <v>0</v>
      </c>
      <c r="L45" s="47" t="s">
        <v>152</v>
      </c>
      <c r="M45" s="63" t="s">
        <v>153</v>
      </c>
      <c r="N45" s="39">
        <v>0</v>
      </c>
      <c r="O45" s="39">
        <f t="shared" si="11"/>
        <v>0</v>
      </c>
      <c r="P45" s="39">
        <f t="shared" si="12"/>
        <v>0</v>
      </c>
      <c r="R45" s="47" t="s">
        <v>152</v>
      </c>
      <c r="S45" s="63" t="s">
        <v>153</v>
      </c>
      <c r="T45" s="39">
        <v>0</v>
      </c>
      <c r="U45" s="39">
        <f t="shared" si="13"/>
        <v>0</v>
      </c>
      <c r="V45" s="39">
        <f t="shared" si="14"/>
        <v>0</v>
      </c>
    </row>
    <row r="46" spans="1:37" x14ac:dyDescent="0.2">
      <c r="F46" s="47" t="s">
        <v>19</v>
      </c>
      <c r="G46" s="63" t="s">
        <v>154</v>
      </c>
      <c r="H46" s="39">
        <v>0</v>
      </c>
      <c r="I46" s="39">
        <f t="shared" si="9"/>
        <v>0</v>
      </c>
      <c r="J46" s="39">
        <f t="shared" si="10"/>
        <v>0</v>
      </c>
      <c r="L46" s="47" t="s">
        <v>19</v>
      </c>
      <c r="M46" s="63" t="s">
        <v>154</v>
      </c>
      <c r="N46" s="39">
        <v>0</v>
      </c>
      <c r="O46" s="39">
        <f t="shared" si="11"/>
        <v>0</v>
      </c>
      <c r="P46" s="39">
        <f t="shared" si="12"/>
        <v>0</v>
      </c>
      <c r="R46" s="47" t="s">
        <v>19</v>
      </c>
      <c r="S46" s="63" t="s">
        <v>154</v>
      </c>
      <c r="T46" s="39">
        <v>0</v>
      </c>
      <c r="U46" s="39">
        <f t="shared" si="13"/>
        <v>0</v>
      </c>
      <c r="V46" s="39">
        <f t="shared" si="14"/>
        <v>0</v>
      </c>
    </row>
    <row r="47" spans="1:37" x14ac:dyDescent="0.2">
      <c r="A47" s="83"/>
      <c r="B47" s="84"/>
      <c r="C47" s="85"/>
      <c r="F47" s="47" t="s">
        <v>20</v>
      </c>
      <c r="G47" s="65" t="s">
        <v>155</v>
      </c>
      <c r="H47" s="39">
        <v>0</v>
      </c>
      <c r="I47" s="39">
        <f t="shared" si="9"/>
        <v>0</v>
      </c>
      <c r="J47" s="39">
        <f t="shared" si="10"/>
        <v>0</v>
      </c>
      <c r="L47" s="67" t="s">
        <v>20</v>
      </c>
      <c r="M47" s="65" t="s">
        <v>155</v>
      </c>
      <c r="N47" s="39">
        <v>0</v>
      </c>
      <c r="O47" s="39">
        <f t="shared" si="11"/>
        <v>0</v>
      </c>
      <c r="P47" s="39">
        <f t="shared" si="12"/>
        <v>0</v>
      </c>
      <c r="R47" s="67" t="s">
        <v>20</v>
      </c>
      <c r="S47" s="65" t="s">
        <v>155</v>
      </c>
      <c r="T47" s="39">
        <v>0</v>
      </c>
      <c r="U47" s="39">
        <f t="shared" si="13"/>
        <v>0</v>
      </c>
      <c r="V47" s="39">
        <f t="shared" si="14"/>
        <v>0</v>
      </c>
    </row>
    <row r="48" spans="1:37" x14ac:dyDescent="0.2">
      <c r="C48" s="85"/>
      <c r="F48" s="47" t="s">
        <v>21</v>
      </c>
      <c r="G48" s="63" t="s">
        <v>156</v>
      </c>
      <c r="H48" s="39">
        <v>1.59</v>
      </c>
      <c r="I48" s="39">
        <f t="shared" si="9"/>
        <v>7.9500000000000005E-3</v>
      </c>
      <c r="J48" s="39">
        <f t="shared" si="10"/>
        <v>0.159</v>
      </c>
      <c r="L48" s="47" t="s">
        <v>21</v>
      </c>
      <c r="M48" s="63" t="s">
        <v>156</v>
      </c>
      <c r="N48" s="39">
        <v>7.77</v>
      </c>
      <c r="O48" s="39">
        <f t="shared" si="11"/>
        <v>0.19424999999999998</v>
      </c>
      <c r="P48" s="39">
        <f t="shared" si="12"/>
        <v>3.8849999999999842</v>
      </c>
      <c r="R48" s="47" t="s">
        <v>21</v>
      </c>
      <c r="S48" s="63" t="s">
        <v>156</v>
      </c>
      <c r="T48" s="39">
        <v>4.22</v>
      </c>
      <c r="U48" s="39">
        <f t="shared" si="13"/>
        <v>4.2199999999999994E-2</v>
      </c>
      <c r="V48" s="39">
        <f t="shared" si="14"/>
        <v>0.84399999999999653</v>
      </c>
    </row>
    <row r="49" spans="2:22" x14ac:dyDescent="0.2">
      <c r="B49" s="84"/>
      <c r="C49" s="85"/>
      <c r="F49" s="47" t="s">
        <v>29</v>
      </c>
      <c r="G49" s="63" t="s">
        <v>157</v>
      </c>
      <c r="H49" s="39">
        <v>0</v>
      </c>
      <c r="I49" s="39">
        <f t="shared" si="9"/>
        <v>0</v>
      </c>
      <c r="J49" s="39">
        <f t="shared" si="10"/>
        <v>0</v>
      </c>
      <c r="L49" s="47" t="s">
        <v>29</v>
      </c>
      <c r="M49" s="63" t="s">
        <v>157</v>
      </c>
      <c r="N49" s="39">
        <v>0</v>
      </c>
      <c r="O49" s="39">
        <f t="shared" si="11"/>
        <v>0</v>
      </c>
      <c r="P49" s="39">
        <f t="shared" si="12"/>
        <v>0</v>
      </c>
      <c r="R49" s="47" t="s">
        <v>29</v>
      </c>
      <c r="S49" s="63" t="s">
        <v>157</v>
      </c>
      <c r="T49" s="39">
        <v>0</v>
      </c>
      <c r="U49" s="39">
        <f t="shared" si="13"/>
        <v>0</v>
      </c>
      <c r="V49" s="39">
        <f t="shared" si="14"/>
        <v>0</v>
      </c>
    </row>
    <row r="50" spans="2:22" x14ac:dyDescent="0.2">
      <c r="C50" s="85"/>
      <c r="F50" s="47" t="s">
        <v>22</v>
      </c>
      <c r="G50" s="63" t="s">
        <v>158</v>
      </c>
      <c r="H50" s="39">
        <v>0</v>
      </c>
      <c r="I50" s="39">
        <f t="shared" si="9"/>
        <v>0</v>
      </c>
      <c r="J50" s="39">
        <f t="shared" si="10"/>
        <v>0</v>
      </c>
      <c r="L50" s="47" t="s">
        <v>22</v>
      </c>
      <c r="M50" s="63" t="s">
        <v>158</v>
      </c>
      <c r="N50" s="39">
        <v>1.36</v>
      </c>
      <c r="O50" s="39">
        <f t="shared" si="11"/>
        <v>3.4000000000000002E-2</v>
      </c>
      <c r="P50" s="39">
        <f t="shared" si="12"/>
        <v>0.67999999999999738</v>
      </c>
      <c r="R50" s="47" t="s">
        <v>22</v>
      </c>
      <c r="S50" s="63" t="s">
        <v>158</v>
      </c>
      <c r="T50" s="39">
        <v>1.74</v>
      </c>
      <c r="U50" s="39">
        <f t="shared" si="13"/>
        <v>1.7399999999999999E-2</v>
      </c>
      <c r="V50" s="39">
        <f t="shared" si="14"/>
        <v>0.34799999999999859</v>
      </c>
    </row>
    <row r="51" spans="2:22" x14ac:dyDescent="0.2">
      <c r="B51" s="84"/>
      <c r="C51" s="85"/>
      <c r="F51" s="47" t="s">
        <v>159</v>
      </c>
      <c r="G51" s="47" t="s">
        <v>160</v>
      </c>
      <c r="H51" s="39">
        <v>0</v>
      </c>
      <c r="I51" s="39">
        <f t="shared" si="9"/>
        <v>0</v>
      </c>
      <c r="J51" s="39">
        <f t="shared" si="10"/>
        <v>0</v>
      </c>
      <c r="L51" s="47" t="s">
        <v>159</v>
      </c>
      <c r="M51" s="47" t="s">
        <v>160</v>
      </c>
      <c r="N51" s="39">
        <v>0</v>
      </c>
      <c r="O51" s="39">
        <f t="shared" si="11"/>
        <v>0</v>
      </c>
      <c r="P51" s="39">
        <f t="shared" si="12"/>
        <v>0</v>
      </c>
      <c r="R51" s="47" t="s">
        <v>159</v>
      </c>
      <c r="S51" s="47" t="s">
        <v>160</v>
      </c>
      <c r="T51" s="39">
        <v>0</v>
      </c>
      <c r="U51" s="39">
        <f t="shared" si="13"/>
        <v>0</v>
      </c>
      <c r="V51" s="39">
        <f t="shared" si="14"/>
        <v>0</v>
      </c>
    </row>
    <row r="52" spans="2:22" x14ac:dyDescent="0.2">
      <c r="C52" s="85"/>
      <c r="F52" s="47" t="s">
        <v>23</v>
      </c>
      <c r="G52" s="47" t="s">
        <v>161</v>
      </c>
      <c r="H52" s="39">
        <v>28.65</v>
      </c>
      <c r="I52" s="39">
        <f t="shared" si="9"/>
        <v>0.14324999999999999</v>
      </c>
      <c r="J52" s="39">
        <f t="shared" si="10"/>
        <v>2.8649999999999998</v>
      </c>
      <c r="L52" s="47" t="s">
        <v>23</v>
      </c>
      <c r="M52" s="47" t="s">
        <v>161</v>
      </c>
      <c r="N52" s="39">
        <v>48.13</v>
      </c>
      <c r="O52" s="39">
        <f t="shared" si="11"/>
        <v>1.2032499999999999</v>
      </c>
      <c r="P52" s="39">
        <f t="shared" si="12"/>
        <v>24.064999999999905</v>
      </c>
      <c r="R52" s="47" t="s">
        <v>23</v>
      </c>
      <c r="S52" s="47" t="s">
        <v>161</v>
      </c>
      <c r="T52" s="39">
        <v>67.41</v>
      </c>
      <c r="U52" s="39">
        <f t="shared" si="13"/>
        <v>0.67409999999999992</v>
      </c>
      <c r="V52" s="39">
        <f t="shared" si="14"/>
        <v>13.481999999999946</v>
      </c>
    </row>
    <row r="53" spans="2:22" x14ac:dyDescent="0.2">
      <c r="F53" s="47" t="s">
        <v>30</v>
      </c>
      <c r="G53" s="47" t="s">
        <v>162</v>
      </c>
      <c r="H53" s="39">
        <v>4.24</v>
      </c>
      <c r="I53" s="39">
        <f t="shared" si="9"/>
        <v>2.1200000000000004E-2</v>
      </c>
      <c r="J53" s="39">
        <f t="shared" si="10"/>
        <v>0.42400000000000004</v>
      </c>
      <c r="L53" s="47" t="s">
        <v>30</v>
      </c>
      <c r="M53" s="47" t="s">
        <v>162</v>
      </c>
      <c r="N53" s="39">
        <v>14.32</v>
      </c>
      <c r="O53" s="39">
        <f t="shared" si="11"/>
        <v>0.35799999999999998</v>
      </c>
      <c r="P53" s="39">
        <f t="shared" si="12"/>
        <v>7.1599999999999717</v>
      </c>
      <c r="R53" s="47" t="s">
        <v>30</v>
      </c>
      <c r="S53" s="47" t="s">
        <v>162</v>
      </c>
      <c r="T53" s="39">
        <v>16.350000000000001</v>
      </c>
      <c r="U53" s="39">
        <f t="shared" si="13"/>
        <v>0.16350000000000001</v>
      </c>
      <c r="V53" s="39">
        <f t="shared" si="14"/>
        <v>3.2699999999999871</v>
      </c>
    </row>
    <row r="54" spans="2:22" x14ac:dyDescent="0.2">
      <c r="F54" s="47" t="s">
        <v>24</v>
      </c>
      <c r="G54" s="47" t="s">
        <v>163</v>
      </c>
      <c r="H54" s="39">
        <v>1.49</v>
      </c>
      <c r="I54" s="39">
        <f t="shared" si="9"/>
        <v>7.45E-3</v>
      </c>
      <c r="J54" s="39">
        <f t="shared" si="10"/>
        <v>0.14899999999999999</v>
      </c>
      <c r="L54" s="47" t="s">
        <v>24</v>
      </c>
      <c r="M54" s="47" t="s">
        <v>163</v>
      </c>
      <c r="N54" s="39">
        <v>1.92</v>
      </c>
      <c r="O54" s="39">
        <f t="shared" si="11"/>
        <v>4.7999999999999994E-2</v>
      </c>
      <c r="P54" s="39">
        <f t="shared" si="12"/>
        <v>0.95999999999999608</v>
      </c>
      <c r="R54" s="47" t="s">
        <v>24</v>
      </c>
      <c r="S54" s="47" t="s">
        <v>163</v>
      </c>
      <c r="T54" s="39">
        <v>0</v>
      </c>
      <c r="U54" s="39">
        <f t="shared" si="13"/>
        <v>0</v>
      </c>
      <c r="V54" s="39">
        <f t="shared" si="14"/>
        <v>0</v>
      </c>
    </row>
    <row r="55" spans="2:22" x14ac:dyDescent="0.2">
      <c r="F55" s="47" t="s">
        <v>31</v>
      </c>
      <c r="G55" s="47" t="s">
        <v>165</v>
      </c>
      <c r="H55" s="39">
        <v>1.49</v>
      </c>
      <c r="I55" s="39">
        <f t="shared" si="9"/>
        <v>7.45E-3</v>
      </c>
      <c r="J55" s="39">
        <f t="shared" si="10"/>
        <v>0.14899999999999999</v>
      </c>
      <c r="L55" s="47" t="s">
        <v>31</v>
      </c>
      <c r="M55" s="47" t="s">
        <v>165</v>
      </c>
      <c r="N55" s="39">
        <v>1.79</v>
      </c>
      <c r="O55" s="39">
        <f t="shared" si="11"/>
        <v>4.4749999999999998E-2</v>
      </c>
      <c r="P55" s="39">
        <f t="shared" si="12"/>
        <v>0.89499999999999647</v>
      </c>
      <c r="R55" s="47" t="s">
        <v>31</v>
      </c>
      <c r="S55" s="47" t="s">
        <v>165</v>
      </c>
      <c r="T55" s="39">
        <v>0</v>
      </c>
      <c r="U55" s="39">
        <f t="shared" si="13"/>
        <v>0</v>
      </c>
      <c r="V55" s="39">
        <f t="shared" si="14"/>
        <v>0</v>
      </c>
    </row>
    <row r="56" spans="2:22" x14ac:dyDescent="0.2">
      <c r="F56" s="47" t="s">
        <v>25</v>
      </c>
      <c r="G56" s="47" t="s">
        <v>167</v>
      </c>
      <c r="H56" s="39">
        <v>9.94</v>
      </c>
      <c r="I56" s="39">
        <f t="shared" si="9"/>
        <v>4.9699999999999994E-2</v>
      </c>
      <c r="J56" s="39">
        <f t="shared" si="10"/>
        <v>0.99399999999999988</v>
      </c>
      <c r="L56" s="47" t="s">
        <v>25</v>
      </c>
      <c r="M56" s="47" t="s">
        <v>167</v>
      </c>
      <c r="N56" s="39">
        <v>19.73</v>
      </c>
      <c r="O56" s="39">
        <f t="shared" si="11"/>
        <v>0.49325000000000002</v>
      </c>
      <c r="P56" s="39">
        <f t="shared" si="12"/>
        <v>9.8649999999999611</v>
      </c>
      <c r="R56" s="47" t="s">
        <v>25</v>
      </c>
      <c r="S56" s="47" t="s">
        <v>167</v>
      </c>
      <c r="T56" s="39">
        <v>35.659999999999997</v>
      </c>
      <c r="U56" s="39">
        <f t="shared" si="13"/>
        <v>0.35659999999999997</v>
      </c>
      <c r="V56" s="39">
        <f t="shared" si="14"/>
        <v>7.1319999999999713</v>
      </c>
    </row>
    <row r="57" spans="2:22" x14ac:dyDescent="0.2">
      <c r="F57" s="47" t="s">
        <v>32</v>
      </c>
      <c r="G57" s="47" t="s">
        <v>168</v>
      </c>
      <c r="H57" s="39">
        <v>97.34</v>
      </c>
      <c r="I57" s="39">
        <f t="shared" si="9"/>
        <v>0.48670000000000002</v>
      </c>
      <c r="J57" s="39">
        <f t="shared" si="10"/>
        <v>9.734</v>
      </c>
      <c r="L57" s="47" t="s">
        <v>32</v>
      </c>
      <c r="M57" s="47" t="s">
        <v>168</v>
      </c>
      <c r="N57" s="39">
        <v>138.11000000000001</v>
      </c>
      <c r="O57" s="39">
        <f t="shared" si="11"/>
        <v>3.4527500000000004</v>
      </c>
      <c r="P57" s="39">
        <f t="shared" si="12"/>
        <v>69.054999999999737</v>
      </c>
      <c r="R57" s="47" t="s">
        <v>32</v>
      </c>
      <c r="S57" s="47" t="s">
        <v>168</v>
      </c>
      <c r="T57" s="39">
        <v>185.88</v>
      </c>
      <c r="U57" s="39">
        <f t="shared" si="13"/>
        <v>1.8588</v>
      </c>
      <c r="V57" s="39">
        <f t="shared" si="14"/>
        <v>37.175999999999853</v>
      </c>
    </row>
    <row r="58" spans="2:22" x14ac:dyDescent="0.2">
      <c r="F58" s="47" t="s">
        <v>37</v>
      </c>
      <c r="G58" s="47" t="s">
        <v>170</v>
      </c>
      <c r="H58" s="39">
        <v>0.77</v>
      </c>
      <c r="I58" s="39">
        <f t="shared" si="9"/>
        <v>3.8500000000000001E-3</v>
      </c>
      <c r="J58" s="39">
        <f t="shared" si="10"/>
        <v>7.6999999999999999E-2</v>
      </c>
      <c r="L58" s="47" t="s">
        <v>37</v>
      </c>
      <c r="M58" s="47" t="s">
        <v>170</v>
      </c>
      <c r="N58" s="39">
        <v>1.33</v>
      </c>
      <c r="O58" s="39">
        <f>((N58:N59*5)/1000)*5</f>
        <v>3.3250000000000002E-2</v>
      </c>
      <c r="P58" s="39">
        <f t="shared" si="12"/>
        <v>0.66499999999999737</v>
      </c>
      <c r="R58" s="47" t="s">
        <v>37</v>
      </c>
      <c r="S58" s="47" t="s">
        <v>170</v>
      </c>
      <c r="T58" s="39">
        <v>3.09</v>
      </c>
      <c r="U58" s="39">
        <f t="shared" si="13"/>
        <v>3.0899999999999997E-2</v>
      </c>
      <c r="V58" s="39">
        <f t="shared" si="14"/>
        <v>0.61799999999999755</v>
      </c>
    </row>
    <row r="59" spans="2:22" x14ac:dyDescent="0.2">
      <c r="B59" s="84"/>
      <c r="F59" s="47" t="s">
        <v>171</v>
      </c>
      <c r="G59" s="47" t="s">
        <v>172</v>
      </c>
      <c r="H59" s="39">
        <v>0</v>
      </c>
      <c r="I59" s="39">
        <f t="shared" si="9"/>
        <v>0</v>
      </c>
      <c r="J59" s="39">
        <f t="shared" si="10"/>
        <v>0</v>
      </c>
      <c r="L59" s="47" t="s">
        <v>171</v>
      </c>
      <c r="M59" s="47" t="s">
        <v>172</v>
      </c>
      <c r="N59" s="39">
        <v>0</v>
      </c>
      <c r="O59" s="39">
        <f t="shared" ref="O59:O70" si="15">((N58:N59*5)/1000)*5</f>
        <v>0</v>
      </c>
      <c r="P59" s="39">
        <f t="shared" si="12"/>
        <v>0</v>
      </c>
      <c r="R59" s="47" t="s">
        <v>171</v>
      </c>
      <c r="S59" s="47" t="s">
        <v>172</v>
      </c>
      <c r="T59" s="39">
        <v>1.3</v>
      </c>
      <c r="U59" s="39">
        <f t="shared" si="13"/>
        <v>1.2999999999999999E-2</v>
      </c>
      <c r="V59" s="39">
        <f t="shared" si="14"/>
        <v>0.25999999999999895</v>
      </c>
    </row>
    <row r="60" spans="2:22" x14ac:dyDescent="0.2">
      <c r="B60" s="84"/>
      <c r="F60" s="47" t="s">
        <v>42</v>
      </c>
      <c r="G60" s="47" t="s">
        <v>174</v>
      </c>
      <c r="H60" s="39">
        <v>0</v>
      </c>
      <c r="I60" s="39">
        <f t="shared" si="9"/>
        <v>0</v>
      </c>
      <c r="J60" s="39">
        <f t="shared" si="10"/>
        <v>0</v>
      </c>
      <c r="L60" s="47" t="s">
        <v>42</v>
      </c>
      <c r="M60" s="47" t="s">
        <v>174</v>
      </c>
      <c r="N60" s="39">
        <v>0</v>
      </c>
      <c r="O60" s="39">
        <f t="shared" si="15"/>
        <v>0</v>
      </c>
      <c r="P60" s="39">
        <f t="shared" si="12"/>
        <v>0</v>
      </c>
      <c r="R60" s="47" t="s">
        <v>42</v>
      </c>
      <c r="S60" s="47" t="s">
        <v>174</v>
      </c>
      <c r="T60" s="39">
        <v>1.79</v>
      </c>
      <c r="U60" s="39">
        <f t="shared" si="13"/>
        <v>1.7899999999999999E-2</v>
      </c>
      <c r="V60" s="39">
        <f t="shared" si="14"/>
        <v>0.3579999999999986</v>
      </c>
    </row>
    <row r="61" spans="2:22" x14ac:dyDescent="0.2">
      <c r="B61" s="84"/>
      <c r="F61" s="47" t="s">
        <v>38</v>
      </c>
      <c r="G61" s="37" t="s">
        <v>175</v>
      </c>
      <c r="H61" s="39">
        <v>0</v>
      </c>
      <c r="I61" s="39">
        <f t="shared" si="9"/>
        <v>0</v>
      </c>
      <c r="J61" s="39">
        <f t="shared" si="10"/>
        <v>0</v>
      </c>
      <c r="L61" s="67" t="s">
        <v>38</v>
      </c>
      <c r="M61" s="37" t="s">
        <v>175</v>
      </c>
      <c r="N61" s="39">
        <v>0</v>
      </c>
      <c r="O61" s="39">
        <f t="shared" si="15"/>
        <v>0</v>
      </c>
      <c r="P61" s="39">
        <f t="shared" si="12"/>
        <v>0</v>
      </c>
      <c r="R61" s="67" t="s">
        <v>38</v>
      </c>
      <c r="S61" s="37" t="s">
        <v>175</v>
      </c>
      <c r="T61" s="39">
        <v>0</v>
      </c>
      <c r="U61" s="39">
        <f t="shared" si="13"/>
        <v>0</v>
      </c>
      <c r="V61" s="39">
        <f t="shared" si="14"/>
        <v>0</v>
      </c>
    </row>
    <row r="62" spans="2:22" x14ac:dyDescent="0.2">
      <c r="B62" s="84"/>
      <c r="F62" s="47" t="s">
        <v>26</v>
      </c>
      <c r="G62" s="47" t="s">
        <v>177</v>
      </c>
      <c r="H62" s="39">
        <v>0</v>
      </c>
      <c r="I62" s="39">
        <f t="shared" si="9"/>
        <v>0</v>
      </c>
      <c r="J62" s="39">
        <f t="shared" si="10"/>
        <v>0</v>
      </c>
      <c r="L62" s="47" t="s">
        <v>26</v>
      </c>
      <c r="M62" s="47" t="s">
        <v>177</v>
      </c>
      <c r="N62" s="39">
        <v>0</v>
      </c>
      <c r="O62" s="39">
        <f t="shared" si="15"/>
        <v>0</v>
      </c>
      <c r="P62" s="39">
        <f t="shared" si="12"/>
        <v>0</v>
      </c>
      <c r="R62" s="47" t="s">
        <v>26</v>
      </c>
      <c r="S62" s="47" t="s">
        <v>177</v>
      </c>
      <c r="T62" s="39">
        <v>0</v>
      </c>
      <c r="U62" s="39">
        <f t="shared" si="13"/>
        <v>0</v>
      </c>
      <c r="V62" s="39">
        <f t="shared" si="14"/>
        <v>0</v>
      </c>
    </row>
    <row r="63" spans="2:22" x14ac:dyDescent="0.2">
      <c r="B63" s="84"/>
      <c r="F63" s="47" t="s">
        <v>33</v>
      </c>
      <c r="G63" s="47" t="s">
        <v>178</v>
      </c>
      <c r="H63" s="39">
        <v>7.38</v>
      </c>
      <c r="I63" s="39">
        <f t="shared" si="9"/>
        <v>3.6899999999999995E-2</v>
      </c>
      <c r="J63" s="39">
        <f t="shared" si="10"/>
        <v>0.73799999999999988</v>
      </c>
      <c r="L63" s="47" t="s">
        <v>33</v>
      </c>
      <c r="M63" s="47" t="s">
        <v>178</v>
      </c>
      <c r="N63" s="39">
        <v>19.7</v>
      </c>
      <c r="O63" s="39">
        <f t="shared" si="15"/>
        <v>0.49250000000000005</v>
      </c>
      <c r="P63" s="39">
        <f t="shared" si="12"/>
        <v>9.8499999999999623</v>
      </c>
      <c r="R63" s="47" t="s">
        <v>33</v>
      </c>
      <c r="S63" s="47" t="s">
        <v>178</v>
      </c>
      <c r="T63" s="39">
        <v>18.920000000000002</v>
      </c>
      <c r="U63" s="39">
        <f t="shared" si="13"/>
        <v>0.18920000000000001</v>
      </c>
      <c r="V63" s="39">
        <f t="shared" si="14"/>
        <v>3.7839999999999852</v>
      </c>
    </row>
    <row r="64" spans="2:22" x14ac:dyDescent="0.2">
      <c r="B64" s="84"/>
      <c r="F64" s="47" t="s">
        <v>39</v>
      </c>
      <c r="G64" s="47" t="s">
        <v>180</v>
      </c>
      <c r="H64" s="39">
        <v>0</v>
      </c>
      <c r="I64" s="39">
        <f t="shared" si="9"/>
        <v>0</v>
      </c>
      <c r="J64" s="39">
        <f t="shared" si="10"/>
        <v>0</v>
      </c>
      <c r="L64" s="47" t="s">
        <v>39</v>
      </c>
      <c r="M64" s="47" t="s">
        <v>180</v>
      </c>
      <c r="N64" s="39">
        <v>0</v>
      </c>
      <c r="O64" s="39">
        <f t="shared" si="15"/>
        <v>0</v>
      </c>
      <c r="P64" s="39">
        <f t="shared" si="12"/>
        <v>0</v>
      </c>
      <c r="R64" s="47" t="s">
        <v>39</v>
      </c>
      <c r="S64" s="47" t="s">
        <v>180</v>
      </c>
      <c r="T64" s="39">
        <v>0</v>
      </c>
      <c r="U64" s="39">
        <f t="shared" si="13"/>
        <v>0</v>
      </c>
      <c r="V64" s="39">
        <f t="shared" si="14"/>
        <v>0</v>
      </c>
    </row>
    <row r="65" spans="2:22" x14ac:dyDescent="0.2">
      <c r="B65" s="84"/>
      <c r="F65" s="47" t="s">
        <v>40</v>
      </c>
      <c r="G65" s="47" t="s">
        <v>182</v>
      </c>
      <c r="H65" s="39">
        <v>0</v>
      </c>
      <c r="I65" s="39">
        <f t="shared" si="9"/>
        <v>0</v>
      </c>
      <c r="J65" s="39">
        <f t="shared" si="10"/>
        <v>0</v>
      </c>
      <c r="L65" s="47" t="s">
        <v>40</v>
      </c>
      <c r="M65" s="47" t="s">
        <v>182</v>
      </c>
      <c r="N65" s="39">
        <v>0</v>
      </c>
      <c r="O65" s="39">
        <f t="shared" si="15"/>
        <v>0</v>
      </c>
      <c r="P65" s="39">
        <f t="shared" si="12"/>
        <v>0</v>
      </c>
      <c r="R65" s="47" t="s">
        <v>40</v>
      </c>
      <c r="S65" s="47" t="s">
        <v>182</v>
      </c>
      <c r="T65" s="39">
        <v>0</v>
      </c>
      <c r="U65" s="39">
        <f t="shared" si="13"/>
        <v>0</v>
      </c>
      <c r="V65" s="39">
        <f t="shared" si="14"/>
        <v>0</v>
      </c>
    </row>
    <row r="66" spans="2:22" x14ac:dyDescent="0.2">
      <c r="B66" s="84"/>
      <c r="F66" s="47" t="s">
        <v>43</v>
      </c>
      <c r="G66" s="47" t="s">
        <v>184</v>
      </c>
      <c r="H66" s="39">
        <v>5.46</v>
      </c>
      <c r="I66" s="39">
        <f t="shared" si="9"/>
        <v>2.7300000000000001E-2</v>
      </c>
      <c r="J66" s="39">
        <f t="shared" si="10"/>
        <v>0.54600000000000004</v>
      </c>
      <c r="L66" s="67" t="s">
        <v>43</v>
      </c>
      <c r="M66" s="47" t="s">
        <v>184</v>
      </c>
      <c r="N66" s="39">
        <v>1.61</v>
      </c>
      <c r="O66" s="39">
        <f t="shared" si="15"/>
        <v>4.0250000000000001E-2</v>
      </c>
      <c r="P66" s="39">
        <f t="shared" si="12"/>
        <v>0.80499999999999683</v>
      </c>
      <c r="R66" s="67" t="s">
        <v>43</v>
      </c>
      <c r="S66" s="47" t="s">
        <v>184</v>
      </c>
      <c r="T66" s="39">
        <v>10.9</v>
      </c>
      <c r="U66" s="39">
        <f t="shared" si="13"/>
        <v>0.109</v>
      </c>
      <c r="V66" s="39">
        <f t="shared" si="14"/>
        <v>2.1799999999999913</v>
      </c>
    </row>
    <row r="67" spans="2:22" x14ac:dyDescent="0.2">
      <c r="B67" s="84"/>
      <c r="F67" s="68" t="s">
        <v>186</v>
      </c>
      <c r="G67" s="68" t="s">
        <v>187</v>
      </c>
      <c r="H67" s="39">
        <v>0</v>
      </c>
      <c r="I67" s="39">
        <f t="shared" si="9"/>
        <v>0</v>
      </c>
      <c r="J67" s="39">
        <f t="shared" si="10"/>
        <v>0</v>
      </c>
      <c r="L67" s="68" t="s">
        <v>186</v>
      </c>
      <c r="M67" s="68" t="s">
        <v>187</v>
      </c>
      <c r="N67" s="66">
        <v>0</v>
      </c>
      <c r="O67" s="39">
        <f t="shared" si="15"/>
        <v>0</v>
      </c>
      <c r="P67" s="39">
        <f t="shared" si="12"/>
        <v>0</v>
      </c>
      <c r="R67" s="68" t="s">
        <v>186</v>
      </c>
      <c r="S67" s="68" t="s">
        <v>187</v>
      </c>
      <c r="T67" s="66">
        <v>0</v>
      </c>
      <c r="U67" s="39">
        <f t="shared" si="13"/>
        <v>0</v>
      </c>
      <c r="V67" s="39">
        <f t="shared" si="14"/>
        <v>0</v>
      </c>
    </row>
    <row r="68" spans="2:22" x14ac:dyDescent="0.2">
      <c r="B68" s="84"/>
      <c r="F68" s="47" t="s">
        <v>44</v>
      </c>
      <c r="G68" s="47" t="s">
        <v>188</v>
      </c>
      <c r="H68" s="39">
        <v>3.15</v>
      </c>
      <c r="I68" s="39">
        <f t="shared" si="9"/>
        <v>1.575E-2</v>
      </c>
      <c r="J68" s="39">
        <f t="shared" si="10"/>
        <v>0.315</v>
      </c>
      <c r="L68" s="47" t="s">
        <v>44</v>
      </c>
      <c r="M68" s="47" t="s">
        <v>188</v>
      </c>
      <c r="N68" s="39">
        <v>8.24</v>
      </c>
      <c r="O68" s="39">
        <f t="shared" si="15"/>
        <v>0.20600000000000002</v>
      </c>
      <c r="P68" s="39">
        <f t="shared" si="12"/>
        <v>4.1199999999999841</v>
      </c>
      <c r="R68" s="47" t="s">
        <v>44</v>
      </c>
      <c r="S68" s="47" t="s">
        <v>188</v>
      </c>
      <c r="T68" s="39">
        <v>7.79</v>
      </c>
      <c r="U68" s="39">
        <f t="shared" si="13"/>
        <v>7.7900000000000011E-2</v>
      </c>
      <c r="V68" s="39">
        <f t="shared" si="14"/>
        <v>1.5579999999999941</v>
      </c>
    </row>
    <row r="69" spans="2:22" x14ac:dyDescent="0.2">
      <c r="B69" s="84"/>
      <c r="F69" s="68" t="s">
        <v>164</v>
      </c>
      <c r="G69" s="68" t="s">
        <v>189</v>
      </c>
      <c r="H69" s="39">
        <v>0</v>
      </c>
      <c r="I69" s="39">
        <f t="shared" si="9"/>
        <v>0</v>
      </c>
      <c r="J69" s="39">
        <f t="shared" si="10"/>
        <v>0</v>
      </c>
      <c r="L69" s="68" t="s">
        <v>164</v>
      </c>
      <c r="M69" s="68" t="s">
        <v>189</v>
      </c>
      <c r="N69" s="66">
        <v>0</v>
      </c>
      <c r="O69" s="39">
        <f t="shared" si="15"/>
        <v>0</v>
      </c>
      <c r="P69" s="39">
        <f t="shared" si="12"/>
        <v>0</v>
      </c>
      <c r="R69" s="68" t="s">
        <v>164</v>
      </c>
      <c r="S69" s="68" t="s">
        <v>189</v>
      </c>
      <c r="T69" s="66">
        <v>0</v>
      </c>
      <c r="U69" s="39">
        <f t="shared" si="13"/>
        <v>0</v>
      </c>
      <c r="V69" s="39">
        <f t="shared" si="14"/>
        <v>0</v>
      </c>
    </row>
    <row r="70" spans="2:22" x14ac:dyDescent="0.2">
      <c r="B70" s="84"/>
      <c r="F70" s="47" t="s">
        <v>166</v>
      </c>
      <c r="G70" s="47" t="s">
        <v>190</v>
      </c>
      <c r="H70" s="39">
        <v>0</v>
      </c>
      <c r="I70" s="39">
        <f t="shared" si="9"/>
        <v>0</v>
      </c>
      <c r="J70" s="39">
        <f t="shared" si="10"/>
        <v>0</v>
      </c>
      <c r="L70" s="47" t="s">
        <v>166</v>
      </c>
      <c r="M70" s="47" t="s">
        <v>190</v>
      </c>
      <c r="N70" s="39">
        <v>0</v>
      </c>
      <c r="O70" s="39">
        <f t="shared" si="15"/>
        <v>0</v>
      </c>
      <c r="P70" s="39">
        <f t="shared" si="12"/>
        <v>0</v>
      </c>
      <c r="R70" s="47" t="s">
        <v>166</v>
      </c>
      <c r="S70" s="47" t="s">
        <v>190</v>
      </c>
      <c r="T70" s="39">
        <v>0</v>
      </c>
      <c r="U70" s="39">
        <f t="shared" si="13"/>
        <v>0</v>
      </c>
      <c r="V70" s="39">
        <f t="shared" si="14"/>
        <v>0</v>
      </c>
    </row>
    <row r="71" spans="2:22" x14ac:dyDescent="0.2">
      <c r="B71" s="84"/>
      <c r="F71" s="47" t="s">
        <v>34</v>
      </c>
      <c r="G71" s="47" t="s">
        <v>191</v>
      </c>
      <c r="H71" s="39">
        <v>0</v>
      </c>
      <c r="I71" s="39">
        <f t="shared" si="9"/>
        <v>0</v>
      </c>
      <c r="J71" s="39">
        <f t="shared" si="10"/>
        <v>0</v>
      </c>
      <c r="L71" s="47" t="s">
        <v>34</v>
      </c>
      <c r="M71" s="47" t="s">
        <v>191</v>
      </c>
      <c r="N71" s="39">
        <v>2.5</v>
      </c>
      <c r="O71" s="39">
        <f t="shared" ref="O71:O75" si="16">((N71*5)/1000)*5</f>
        <v>6.25E-2</v>
      </c>
      <c r="P71" s="39">
        <f t="shared" si="12"/>
        <v>1.2499999999999951</v>
      </c>
      <c r="R71" s="47" t="s">
        <v>34</v>
      </c>
      <c r="S71" s="47" t="s">
        <v>191</v>
      </c>
      <c r="T71" s="39">
        <v>0</v>
      </c>
      <c r="U71" s="39">
        <f t="shared" si="13"/>
        <v>0</v>
      </c>
      <c r="V71" s="39">
        <f t="shared" si="14"/>
        <v>0</v>
      </c>
    </row>
    <row r="72" spans="2:22" x14ac:dyDescent="0.2">
      <c r="B72" s="84"/>
      <c r="F72" s="47" t="s">
        <v>27</v>
      </c>
      <c r="G72" s="47" t="s">
        <v>192</v>
      </c>
      <c r="H72" s="39">
        <v>6.92</v>
      </c>
      <c r="I72" s="39">
        <f t="shared" si="9"/>
        <v>3.4599999999999999E-2</v>
      </c>
      <c r="J72" s="39">
        <f t="shared" si="10"/>
        <v>0.69199999999999995</v>
      </c>
      <c r="L72" s="47" t="s">
        <v>27</v>
      </c>
      <c r="M72" s="47" t="s">
        <v>192</v>
      </c>
      <c r="N72" s="39">
        <v>0</v>
      </c>
      <c r="O72" s="39">
        <f t="shared" si="16"/>
        <v>0</v>
      </c>
      <c r="P72" s="39">
        <f t="shared" si="12"/>
        <v>0</v>
      </c>
      <c r="R72" s="47" t="s">
        <v>27</v>
      </c>
      <c r="S72" s="47" t="s">
        <v>192</v>
      </c>
      <c r="T72" s="39">
        <v>4.92</v>
      </c>
      <c r="U72" s="39">
        <f t="shared" si="13"/>
        <v>4.9200000000000001E-2</v>
      </c>
      <c r="V72" s="39">
        <f t="shared" si="14"/>
        <v>0.9839999999999961</v>
      </c>
    </row>
    <row r="73" spans="2:22" x14ac:dyDescent="0.2">
      <c r="B73" s="84"/>
      <c r="F73" s="47" t="s">
        <v>45</v>
      </c>
      <c r="G73" s="47" t="s">
        <v>193</v>
      </c>
      <c r="H73" s="39">
        <v>53.48</v>
      </c>
      <c r="I73" s="39">
        <f t="shared" si="9"/>
        <v>0.26739999999999997</v>
      </c>
      <c r="J73" s="39">
        <f t="shared" si="10"/>
        <v>5.347999999999999</v>
      </c>
      <c r="L73" s="47" t="s">
        <v>45</v>
      </c>
      <c r="M73" s="47" t="s">
        <v>193</v>
      </c>
      <c r="N73" s="39">
        <v>30.27</v>
      </c>
      <c r="O73" s="39">
        <f t="shared" si="16"/>
        <v>0.75674999999999992</v>
      </c>
      <c r="P73" s="39">
        <f t="shared" si="12"/>
        <v>15.134999999999939</v>
      </c>
      <c r="R73" s="47" t="s">
        <v>45</v>
      </c>
      <c r="S73" s="47" t="s">
        <v>193</v>
      </c>
      <c r="T73" s="39">
        <v>81.069999999999993</v>
      </c>
      <c r="U73" s="39">
        <f t="shared" si="13"/>
        <v>0.81069999999999998</v>
      </c>
      <c r="V73" s="39">
        <f t="shared" si="14"/>
        <v>16.213999999999935</v>
      </c>
    </row>
    <row r="74" spans="2:22" x14ac:dyDescent="0.2">
      <c r="B74" s="84"/>
      <c r="F74" s="47" t="s">
        <v>169</v>
      </c>
      <c r="G74" s="47" t="s">
        <v>194</v>
      </c>
      <c r="H74" s="39">
        <v>0</v>
      </c>
      <c r="I74" s="39">
        <f t="shared" si="9"/>
        <v>0</v>
      </c>
      <c r="J74" s="39">
        <f t="shared" si="10"/>
        <v>0</v>
      </c>
      <c r="L74" s="47" t="s">
        <v>169</v>
      </c>
      <c r="M74" s="47" t="s">
        <v>194</v>
      </c>
      <c r="N74" s="39">
        <v>0</v>
      </c>
      <c r="O74" s="39">
        <f t="shared" si="16"/>
        <v>0</v>
      </c>
      <c r="P74" s="39">
        <f t="shared" si="12"/>
        <v>0</v>
      </c>
      <c r="R74" s="47" t="s">
        <v>169</v>
      </c>
      <c r="S74" s="47" t="s">
        <v>194</v>
      </c>
      <c r="T74" s="39">
        <v>1.37</v>
      </c>
      <c r="U74" s="39">
        <f t="shared" si="13"/>
        <v>1.37E-2</v>
      </c>
      <c r="V74" s="39">
        <f t="shared" si="14"/>
        <v>0.27399999999999891</v>
      </c>
    </row>
    <row r="75" spans="2:22" x14ac:dyDescent="0.2">
      <c r="B75" s="84"/>
      <c r="F75" s="47" t="s">
        <v>35</v>
      </c>
      <c r="G75" s="47" t="s">
        <v>196</v>
      </c>
      <c r="H75" s="39">
        <v>0</v>
      </c>
      <c r="I75" s="39">
        <f t="shared" si="9"/>
        <v>0</v>
      </c>
      <c r="J75" s="39">
        <f t="shared" si="10"/>
        <v>0</v>
      </c>
      <c r="L75" s="47" t="s">
        <v>35</v>
      </c>
      <c r="M75" s="47" t="s">
        <v>196</v>
      </c>
      <c r="N75" s="39">
        <v>2.21</v>
      </c>
      <c r="O75" s="39">
        <f t="shared" si="16"/>
        <v>5.5250000000000007E-2</v>
      </c>
      <c r="P75" s="39">
        <f t="shared" si="12"/>
        <v>1.1049999999999958</v>
      </c>
      <c r="R75" s="47" t="s">
        <v>35</v>
      </c>
      <c r="S75" s="47" t="s">
        <v>196</v>
      </c>
      <c r="T75" s="39">
        <v>0</v>
      </c>
      <c r="U75" s="39">
        <f t="shared" si="13"/>
        <v>0</v>
      </c>
      <c r="V75" s="39">
        <f t="shared" si="14"/>
        <v>0</v>
      </c>
    </row>
    <row r="76" spans="2:22" x14ac:dyDescent="0.2">
      <c r="B76" s="84"/>
      <c r="H76" s="39" t="s">
        <v>221</v>
      </c>
      <c r="I76" s="39">
        <f>SUM(I46:I74)</f>
        <v>1.1095000000000002</v>
      </c>
      <c r="N76" s="39" t="s">
        <v>221</v>
      </c>
      <c r="O76" s="39">
        <f>SUM(O42:O75)</f>
        <v>7.4747500000000011</v>
      </c>
      <c r="P76" s="84"/>
      <c r="T76" s="39" t="s">
        <v>221</v>
      </c>
      <c r="U76" s="39">
        <f>SUM(U42:U75)</f>
        <v>4.4240999999999993</v>
      </c>
    </row>
    <row r="77" spans="2:22" x14ac:dyDescent="0.2">
      <c r="B77" s="84"/>
    </row>
    <row r="78" spans="2:22" x14ac:dyDescent="0.2">
      <c r="B78" s="84"/>
      <c r="H78" s="82">
        <v>198</v>
      </c>
      <c r="I78" s="40"/>
      <c r="N78" s="82" t="s">
        <v>198</v>
      </c>
      <c r="O78" s="84"/>
      <c r="T78" s="82" t="s">
        <v>203</v>
      </c>
      <c r="U78" s="40"/>
    </row>
    <row r="79" spans="2:22" x14ac:dyDescent="0.2">
      <c r="B79" s="84"/>
      <c r="F79" s="47" t="s">
        <v>216</v>
      </c>
      <c r="G79" s="47" t="s">
        <v>217</v>
      </c>
      <c r="H79" s="39" t="s">
        <v>218</v>
      </c>
      <c r="I79" s="39" t="s">
        <v>219</v>
      </c>
      <c r="J79" s="39" t="s">
        <v>220</v>
      </c>
      <c r="L79" s="47" t="s">
        <v>216</v>
      </c>
      <c r="M79" s="47" t="s">
        <v>217</v>
      </c>
      <c r="N79" s="39" t="s">
        <v>218</v>
      </c>
      <c r="O79" s="39" t="s">
        <v>219</v>
      </c>
      <c r="P79" s="39" t="s">
        <v>220</v>
      </c>
      <c r="R79" s="47" t="s">
        <v>216</v>
      </c>
      <c r="S79" s="48" t="s">
        <v>217</v>
      </c>
      <c r="T79" s="49" t="s">
        <v>218</v>
      </c>
      <c r="U79" s="49" t="s">
        <v>219</v>
      </c>
      <c r="V79" s="49" t="s">
        <v>220</v>
      </c>
    </row>
    <row r="80" spans="2:22" x14ac:dyDescent="0.2">
      <c r="B80" s="84"/>
      <c r="F80" s="48" t="s">
        <v>147</v>
      </c>
      <c r="G80" s="47" t="s">
        <v>148</v>
      </c>
      <c r="H80" s="39">
        <v>0</v>
      </c>
      <c r="I80" s="39">
        <f t="shared" ref="I80:I113" si="17">(H80*5)/1000</f>
        <v>0</v>
      </c>
      <c r="J80" s="39">
        <f t="shared" ref="J80:J113" si="18">I80/$C$5</f>
        <v>0</v>
      </c>
      <c r="L80" s="68" t="s">
        <v>147</v>
      </c>
      <c r="M80" s="47" t="s">
        <v>148</v>
      </c>
      <c r="N80" s="39">
        <v>0</v>
      </c>
      <c r="O80" s="39">
        <f t="shared" ref="O80:O113" si="19">(N80*5)/1000</f>
        <v>0</v>
      </c>
      <c r="P80" s="66">
        <f t="shared" ref="P80:P113" si="20">O80/$C$39</f>
        <v>0</v>
      </c>
      <c r="R80" s="68" t="s">
        <v>147</v>
      </c>
      <c r="S80" s="47" t="s">
        <v>148</v>
      </c>
      <c r="T80" s="39">
        <v>0</v>
      </c>
      <c r="U80" s="39">
        <f t="shared" ref="U80:U113" si="21">((T80*5)/1000)*5</f>
        <v>0</v>
      </c>
      <c r="V80" s="66">
        <f t="shared" ref="V80:V113" si="22">U80/$C$43</f>
        <v>0</v>
      </c>
    </row>
    <row r="81" spans="2:22" x14ac:dyDescent="0.2">
      <c r="B81" s="84"/>
      <c r="F81" s="48" t="s">
        <v>18</v>
      </c>
      <c r="G81" s="63" t="s">
        <v>149</v>
      </c>
      <c r="H81" s="39">
        <v>0</v>
      </c>
      <c r="I81" s="39">
        <f t="shared" si="17"/>
        <v>0</v>
      </c>
      <c r="J81" s="39">
        <f t="shared" si="18"/>
        <v>0</v>
      </c>
      <c r="L81" s="68" t="s">
        <v>18</v>
      </c>
      <c r="M81" s="63" t="s">
        <v>149</v>
      </c>
      <c r="N81" s="39">
        <v>0</v>
      </c>
      <c r="O81" s="39">
        <f t="shared" si="19"/>
        <v>0</v>
      </c>
      <c r="P81" s="66">
        <f t="shared" si="20"/>
        <v>0</v>
      </c>
      <c r="R81" s="68" t="s">
        <v>18</v>
      </c>
      <c r="S81" s="63" t="s">
        <v>149</v>
      </c>
      <c r="T81" s="39">
        <v>0</v>
      </c>
      <c r="U81" s="39">
        <f t="shared" si="21"/>
        <v>0</v>
      </c>
      <c r="V81" s="66">
        <f t="shared" si="22"/>
        <v>0</v>
      </c>
    </row>
    <row r="82" spans="2:22" x14ac:dyDescent="0.2">
      <c r="B82" s="84"/>
      <c r="F82" s="48" t="s">
        <v>150</v>
      </c>
      <c r="G82" s="63" t="s">
        <v>151</v>
      </c>
      <c r="H82" s="39">
        <v>0</v>
      </c>
      <c r="I82" s="39">
        <f t="shared" si="17"/>
        <v>0</v>
      </c>
      <c r="J82" s="39">
        <f t="shared" si="18"/>
        <v>0</v>
      </c>
      <c r="L82" s="68" t="s">
        <v>150</v>
      </c>
      <c r="M82" s="63" t="s">
        <v>151</v>
      </c>
      <c r="N82" s="39">
        <v>0</v>
      </c>
      <c r="O82" s="39">
        <f t="shared" si="19"/>
        <v>0</v>
      </c>
      <c r="P82" s="66">
        <f t="shared" si="20"/>
        <v>0</v>
      </c>
      <c r="R82" s="68" t="s">
        <v>150</v>
      </c>
      <c r="S82" s="63" t="s">
        <v>151</v>
      </c>
      <c r="T82" s="39">
        <v>0</v>
      </c>
      <c r="U82" s="39">
        <f t="shared" si="21"/>
        <v>0</v>
      </c>
      <c r="V82" s="66">
        <f t="shared" si="22"/>
        <v>0</v>
      </c>
    </row>
    <row r="83" spans="2:22" x14ac:dyDescent="0.2">
      <c r="B83" s="84"/>
      <c r="F83" s="48" t="s">
        <v>152</v>
      </c>
      <c r="G83" s="63" t="s">
        <v>153</v>
      </c>
      <c r="H83" s="39">
        <v>0</v>
      </c>
      <c r="I83" s="39">
        <f t="shared" si="17"/>
        <v>0</v>
      </c>
      <c r="J83" s="39">
        <f t="shared" si="18"/>
        <v>0</v>
      </c>
      <c r="L83" s="68" t="s">
        <v>152</v>
      </c>
      <c r="M83" s="63" t="s">
        <v>153</v>
      </c>
      <c r="N83" s="39">
        <v>0</v>
      </c>
      <c r="O83" s="39">
        <f t="shared" si="19"/>
        <v>0</v>
      </c>
      <c r="P83" s="66">
        <f t="shared" si="20"/>
        <v>0</v>
      </c>
      <c r="R83" s="68" t="s">
        <v>152</v>
      </c>
      <c r="S83" s="63" t="s">
        <v>153</v>
      </c>
      <c r="T83" s="39">
        <v>0</v>
      </c>
      <c r="U83" s="39">
        <f t="shared" si="21"/>
        <v>0</v>
      </c>
      <c r="V83" s="66">
        <f t="shared" si="22"/>
        <v>0</v>
      </c>
    </row>
    <row r="84" spans="2:22" x14ac:dyDescent="0.2">
      <c r="B84" s="84"/>
      <c r="F84" s="48" t="s">
        <v>19</v>
      </c>
      <c r="G84" s="63" t="s">
        <v>154</v>
      </c>
      <c r="H84" s="39">
        <v>0</v>
      </c>
      <c r="I84" s="39">
        <f t="shared" si="17"/>
        <v>0</v>
      </c>
      <c r="J84" s="39">
        <f t="shared" si="18"/>
        <v>0</v>
      </c>
      <c r="L84" s="68" t="s">
        <v>19</v>
      </c>
      <c r="M84" s="63" t="s">
        <v>154</v>
      </c>
      <c r="N84" s="39">
        <v>0</v>
      </c>
      <c r="O84" s="39">
        <f t="shared" si="19"/>
        <v>0</v>
      </c>
      <c r="P84" s="66">
        <f t="shared" si="20"/>
        <v>0</v>
      </c>
      <c r="R84" s="68" t="s">
        <v>19</v>
      </c>
      <c r="S84" s="63" t="s">
        <v>154</v>
      </c>
      <c r="T84" s="39">
        <v>0</v>
      </c>
      <c r="U84" s="39">
        <f t="shared" si="21"/>
        <v>0</v>
      </c>
      <c r="V84" s="66">
        <f t="shared" si="22"/>
        <v>0</v>
      </c>
    </row>
    <row r="85" spans="2:22" x14ac:dyDescent="0.2">
      <c r="B85" s="84"/>
      <c r="F85" s="48" t="s">
        <v>20</v>
      </c>
      <c r="G85" s="65" t="s">
        <v>155</v>
      </c>
      <c r="H85" s="39">
        <v>0</v>
      </c>
      <c r="I85" s="39">
        <f t="shared" si="17"/>
        <v>0</v>
      </c>
      <c r="J85" s="39">
        <f t="shared" si="18"/>
        <v>0</v>
      </c>
      <c r="L85" s="67" t="s">
        <v>20</v>
      </c>
      <c r="M85" s="65" t="s">
        <v>155</v>
      </c>
      <c r="N85" s="83">
        <v>0</v>
      </c>
      <c r="O85" s="39">
        <f t="shared" si="19"/>
        <v>0</v>
      </c>
      <c r="P85" s="66">
        <f t="shared" si="20"/>
        <v>0</v>
      </c>
      <c r="R85" s="67" t="s">
        <v>20</v>
      </c>
      <c r="S85" s="65" t="s">
        <v>155</v>
      </c>
      <c r="T85" s="66">
        <v>0</v>
      </c>
      <c r="U85" s="39">
        <f t="shared" si="21"/>
        <v>0</v>
      </c>
      <c r="V85" s="66">
        <f t="shared" si="22"/>
        <v>0</v>
      </c>
    </row>
    <row r="86" spans="2:22" x14ac:dyDescent="0.2">
      <c r="B86" s="84"/>
      <c r="F86" s="48" t="s">
        <v>21</v>
      </c>
      <c r="G86" s="63" t="s">
        <v>156</v>
      </c>
      <c r="H86" s="39">
        <v>11.34</v>
      </c>
      <c r="I86" s="39">
        <f t="shared" si="17"/>
        <v>5.67E-2</v>
      </c>
      <c r="J86" s="39">
        <f t="shared" si="18"/>
        <v>1.1339999999999999</v>
      </c>
      <c r="L86" s="68" t="s">
        <v>21</v>
      </c>
      <c r="M86" s="63" t="s">
        <v>156</v>
      </c>
      <c r="N86" s="39">
        <v>26.79</v>
      </c>
      <c r="O86" s="39">
        <f t="shared" si="19"/>
        <v>0.13394999999999999</v>
      </c>
      <c r="P86" s="66">
        <f t="shared" si="20"/>
        <v>2.6789999999999892</v>
      </c>
      <c r="R86" s="68" t="s">
        <v>21</v>
      </c>
      <c r="S86" s="63" t="s">
        <v>156</v>
      </c>
      <c r="T86" s="39">
        <v>6.63</v>
      </c>
      <c r="U86" s="39">
        <f t="shared" si="21"/>
        <v>0.16575000000000001</v>
      </c>
      <c r="V86" s="66">
        <f t="shared" si="22"/>
        <v>3.3149999999999871</v>
      </c>
    </row>
    <row r="87" spans="2:22" x14ac:dyDescent="0.2">
      <c r="B87" s="84"/>
      <c r="F87" s="48" t="s">
        <v>29</v>
      </c>
      <c r="G87" s="63" t="s">
        <v>157</v>
      </c>
      <c r="H87" s="39">
        <v>0.77</v>
      </c>
      <c r="I87" s="39">
        <f t="shared" si="17"/>
        <v>3.8500000000000001E-3</v>
      </c>
      <c r="J87" s="39">
        <f t="shared" si="18"/>
        <v>7.6999999999999999E-2</v>
      </c>
      <c r="L87" s="68" t="s">
        <v>29</v>
      </c>
      <c r="M87" s="63" t="s">
        <v>157</v>
      </c>
      <c r="N87" s="39">
        <v>0</v>
      </c>
      <c r="O87" s="39">
        <f t="shared" si="19"/>
        <v>0</v>
      </c>
      <c r="P87" s="66">
        <f t="shared" si="20"/>
        <v>0</v>
      </c>
      <c r="R87" s="68" t="s">
        <v>29</v>
      </c>
      <c r="S87" s="63" t="s">
        <v>157</v>
      </c>
      <c r="T87" s="39">
        <v>0</v>
      </c>
      <c r="U87" s="39">
        <f t="shared" si="21"/>
        <v>0</v>
      </c>
      <c r="V87" s="66">
        <f t="shared" si="22"/>
        <v>0</v>
      </c>
    </row>
    <row r="88" spans="2:22" x14ac:dyDescent="0.2">
      <c r="B88" s="84"/>
      <c r="F88" s="48" t="s">
        <v>22</v>
      </c>
      <c r="G88" s="63" t="s">
        <v>158</v>
      </c>
      <c r="H88" s="39">
        <v>3.04</v>
      </c>
      <c r="I88" s="39">
        <f t="shared" si="17"/>
        <v>1.52E-2</v>
      </c>
      <c r="J88" s="39">
        <f t="shared" si="18"/>
        <v>0.30399999999999999</v>
      </c>
      <c r="L88" s="68" t="s">
        <v>22</v>
      </c>
      <c r="M88" s="63" t="s">
        <v>158</v>
      </c>
      <c r="N88" s="39">
        <v>4.76</v>
      </c>
      <c r="O88" s="39">
        <f t="shared" si="19"/>
        <v>2.3799999999999998E-2</v>
      </c>
      <c r="P88" s="66">
        <f t="shared" si="20"/>
        <v>0.47599999999999809</v>
      </c>
      <c r="R88" s="68" t="s">
        <v>22</v>
      </c>
      <c r="S88" s="63" t="s">
        <v>158</v>
      </c>
      <c r="T88" s="39">
        <v>1.1499999999999999</v>
      </c>
      <c r="U88" s="39">
        <f t="shared" si="21"/>
        <v>2.8749999999999998E-2</v>
      </c>
      <c r="V88" s="66">
        <f t="shared" si="22"/>
        <v>0.57499999999999774</v>
      </c>
    </row>
    <row r="89" spans="2:22" x14ac:dyDescent="0.2">
      <c r="B89" s="84"/>
      <c r="F89" s="48" t="s">
        <v>159</v>
      </c>
      <c r="G89" s="47" t="s">
        <v>160</v>
      </c>
      <c r="H89" s="39">
        <v>0</v>
      </c>
      <c r="I89" s="39">
        <f t="shared" si="17"/>
        <v>0</v>
      </c>
      <c r="J89" s="39">
        <f t="shared" si="18"/>
        <v>0</v>
      </c>
      <c r="L89" s="68" t="s">
        <v>159</v>
      </c>
      <c r="M89" s="47" t="s">
        <v>160</v>
      </c>
      <c r="N89" s="39">
        <v>0.84</v>
      </c>
      <c r="O89" s="39">
        <f t="shared" si="19"/>
        <v>4.2000000000000006E-3</v>
      </c>
      <c r="P89" s="66">
        <f t="shared" si="20"/>
        <v>8.3999999999999686E-2</v>
      </c>
      <c r="R89" s="68" t="s">
        <v>159</v>
      </c>
      <c r="S89" s="47" t="s">
        <v>160</v>
      </c>
      <c r="T89" s="39">
        <v>0</v>
      </c>
      <c r="U89" s="39">
        <f t="shared" si="21"/>
        <v>0</v>
      </c>
      <c r="V89" s="66">
        <f t="shared" si="22"/>
        <v>0</v>
      </c>
    </row>
    <row r="90" spans="2:22" x14ac:dyDescent="0.2">
      <c r="B90" s="84"/>
      <c r="F90" s="48" t="s">
        <v>23</v>
      </c>
      <c r="G90" s="47" t="s">
        <v>161</v>
      </c>
      <c r="H90" s="39">
        <v>129.34</v>
      </c>
      <c r="I90" s="39">
        <f t="shared" si="17"/>
        <v>0.64670000000000005</v>
      </c>
      <c r="J90" s="39">
        <f t="shared" si="18"/>
        <v>12.934000000000001</v>
      </c>
      <c r="L90" s="68" t="s">
        <v>23</v>
      </c>
      <c r="M90" s="47" t="s">
        <v>161</v>
      </c>
      <c r="N90" s="39">
        <v>132.38</v>
      </c>
      <c r="O90" s="39">
        <f t="shared" si="19"/>
        <v>0.66189999999999993</v>
      </c>
      <c r="P90" s="66">
        <f t="shared" si="20"/>
        <v>13.237999999999946</v>
      </c>
      <c r="R90" s="68" t="s">
        <v>23</v>
      </c>
      <c r="S90" s="47" t="s">
        <v>161</v>
      </c>
      <c r="T90" s="39">
        <v>53.03</v>
      </c>
      <c r="U90" s="39">
        <f t="shared" si="21"/>
        <v>1.32575</v>
      </c>
      <c r="V90" s="66">
        <f t="shared" si="22"/>
        <v>26.514999999999894</v>
      </c>
    </row>
    <row r="91" spans="2:22" x14ac:dyDescent="0.2">
      <c r="B91" s="84"/>
      <c r="F91" s="48" t="s">
        <v>30</v>
      </c>
      <c r="G91" s="47" t="s">
        <v>162</v>
      </c>
      <c r="H91" s="39">
        <v>24.51</v>
      </c>
      <c r="I91" s="39">
        <f t="shared" si="17"/>
        <v>0.12255000000000001</v>
      </c>
      <c r="J91" s="39">
        <f t="shared" si="18"/>
        <v>2.4510000000000001</v>
      </c>
      <c r="L91" s="68" t="s">
        <v>30</v>
      </c>
      <c r="M91" s="47" t="s">
        <v>162</v>
      </c>
      <c r="N91" s="39">
        <v>39.049999999999997</v>
      </c>
      <c r="O91" s="39">
        <f t="shared" si="19"/>
        <v>0.19525000000000001</v>
      </c>
      <c r="P91" s="66">
        <f t="shared" si="20"/>
        <v>3.9049999999999847</v>
      </c>
      <c r="R91" s="68" t="s">
        <v>30</v>
      </c>
      <c r="S91" s="47" t="s">
        <v>162</v>
      </c>
      <c r="T91" s="39">
        <v>17.920000000000002</v>
      </c>
      <c r="U91" s="39">
        <f t="shared" si="21"/>
        <v>0.44800000000000006</v>
      </c>
      <c r="V91" s="66">
        <f t="shared" si="22"/>
        <v>8.9599999999999653</v>
      </c>
    </row>
    <row r="92" spans="2:22" x14ac:dyDescent="0.2">
      <c r="B92" s="84"/>
      <c r="F92" s="48" t="s">
        <v>24</v>
      </c>
      <c r="G92" s="47" t="s">
        <v>163</v>
      </c>
      <c r="H92" s="39">
        <v>5.65</v>
      </c>
      <c r="I92" s="39">
        <f t="shared" si="17"/>
        <v>2.8250000000000001E-2</v>
      </c>
      <c r="J92" s="39">
        <f t="shared" si="18"/>
        <v>0.56499999999999995</v>
      </c>
      <c r="L92" s="68" t="s">
        <v>24</v>
      </c>
      <c r="M92" s="47" t="s">
        <v>163</v>
      </c>
      <c r="N92" s="39">
        <v>6.62</v>
      </c>
      <c r="O92" s="39">
        <f t="shared" si="19"/>
        <v>3.3100000000000004E-2</v>
      </c>
      <c r="P92" s="66">
        <f t="shared" si="20"/>
        <v>0.66199999999999748</v>
      </c>
      <c r="R92" s="68" t="s">
        <v>24</v>
      </c>
      <c r="S92" s="47" t="s">
        <v>163</v>
      </c>
      <c r="T92" s="39">
        <v>3.26</v>
      </c>
      <c r="U92" s="39">
        <f t="shared" si="21"/>
        <v>8.1499999999999989E-2</v>
      </c>
      <c r="V92" s="66">
        <f t="shared" si="22"/>
        <v>1.6299999999999935</v>
      </c>
    </row>
    <row r="93" spans="2:22" x14ac:dyDescent="0.2">
      <c r="B93" s="84"/>
      <c r="F93" s="48" t="s">
        <v>31</v>
      </c>
      <c r="G93" s="47" t="s">
        <v>165</v>
      </c>
      <c r="H93" s="39">
        <v>4.07</v>
      </c>
      <c r="I93" s="39">
        <f t="shared" si="17"/>
        <v>2.035E-2</v>
      </c>
      <c r="J93" s="39">
        <f t="shared" si="18"/>
        <v>0.40699999999999997</v>
      </c>
      <c r="L93" s="68" t="s">
        <v>31</v>
      </c>
      <c r="M93" s="47" t="s">
        <v>165</v>
      </c>
      <c r="N93" s="39">
        <v>7.16</v>
      </c>
      <c r="O93" s="39">
        <f t="shared" si="19"/>
        <v>3.5799999999999998E-2</v>
      </c>
      <c r="P93" s="66">
        <f t="shared" si="20"/>
        <v>0.71599999999999719</v>
      </c>
      <c r="R93" s="68" t="s">
        <v>31</v>
      </c>
      <c r="S93" s="47" t="s">
        <v>165</v>
      </c>
      <c r="T93" s="39">
        <v>4.43</v>
      </c>
      <c r="U93" s="39">
        <f t="shared" si="21"/>
        <v>0.11075</v>
      </c>
      <c r="V93" s="66">
        <f t="shared" si="22"/>
        <v>2.2149999999999914</v>
      </c>
    </row>
    <row r="94" spans="2:22" x14ac:dyDescent="0.2">
      <c r="B94" s="84"/>
      <c r="F94" s="48" t="s">
        <v>25</v>
      </c>
      <c r="G94" s="47" t="s">
        <v>167</v>
      </c>
      <c r="H94" s="39">
        <v>72.150000000000006</v>
      </c>
      <c r="I94" s="39">
        <f t="shared" si="17"/>
        <v>0.36075000000000002</v>
      </c>
      <c r="J94" s="39">
        <f t="shared" si="18"/>
        <v>7.2149999999999999</v>
      </c>
      <c r="L94" s="68" t="s">
        <v>25</v>
      </c>
      <c r="M94" s="47" t="s">
        <v>167</v>
      </c>
      <c r="N94" s="39">
        <v>69.709999999999994</v>
      </c>
      <c r="O94" s="39">
        <f t="shared" si="19"/>
        <v>0.34854999999999997</v>
      </c>
      <c r="P94" s="66">
        <f t="shared" si="20"/>
        <v>6.9709999999999717</v>
      </c>
      <c r="R94" s="68" t="s">
        <v>25</v>
      </c>
      <c r="S94" s="47" t="s">
        <v>167</v>
      </c>
      <c r="T94" s="39">
        <v>42.22</v>
      </c>
      <c r="U94" s="39">
        <f t="shared" si="21"/>
        <v>1.0554999999999999</v>
      </c>
      <c r="V94" s="66">
        <f t="shared" si="22"/>
        <v>21.109999999999914</v>
      </c>
    </row>
    <row r="95" spans="2:22" x14ac:dyDescent="0.2">
      <c r="B95" s="84"/>
      <c r="F95" s="48" t="s">
        <v>32</v>
      </c>
      <c r="G95" s="47" t="s">
        <v>168</v>
      </c>
      <c r="H95" s="39">
        <v>289.69</v>
      </c>
      <c r="I95" s="39">
        <f t="shared" si="17"/>
        <v>1.44845</v>
      </c>
      <c r="J95" s="39">
        <f t="shared" si="18"/>
        <v>28.968999999999998</v>
      </c>
      <c r="L95" s="68" t="s">
        <v>32</v>
      </c>
      <c r="M95" s="47" t="s">
        <v>168</v>
      </c>
      <c r="N95" s="39">
        <v>352.48</v>
      </c>
      <c r="O95" s="39">
        <f t="shared" si="19"/>
        <v>1.7624000000000002</v>
      </c>
      <c r="P95" s="66">
        <f t="shared" si="20"/>
        <v>35.247999999999863</v>
      </c>
      <c r="R95" s="68" t="s">
        <v>32</v>
      </c>
      <c r="S95" s="47" t="s">
        <v>168</v>
      </c>
      <c r="T95" s="39">
        <v>281.3</v>
      </c>
      <c r="U95" s="39">
        <f t="shared" si="21"/>
        <v>7.0325000000000006</v>
      </c>
      <c r="V95" s="66">
        <f t="shared" si="22"/>
        <v>140.64999999999947</v>
      </c>
    </row>
    <row r="96" spans="2:22" x14ac:dyDescent="0.2">
      <c r="B96" s="84"/>
      <c r="F96" s="48" t="s">
        <v>37</v>
      </c>
      <c r="G96" s="47" t="s">
        <v>170</v>
      </c>
      <c r="H96" s="39">
        <v>5.93</v>
      </c>
      <c r="I96" s="39">
        <f t="shared" si="17"/>
        <v>2.9649999999999999E-2</v>
      </c>
      <c r="J96" s="39">
        <f t="shared" si="18"/>
        <v>0.59299999999999997</v>
      </c>
      <c r="L96" s="68" t="s">
        <v>37</v>
      </c>
      <c r="M96" s="47" t="s">
        <v>170</v>
      </c>
      <c r="N96" s="39">
        <v>8.68</v>
      </c>
      <c r="O96" s="39">
        <f t="shared" si="19"/>
        <v>4.3400000000000001E-2</v>
      </c>
      <c r="P96" s="66">
        <f t="shared" si="20"/>
        <v>0.86799999999999655</v>
      </c>
      <c r="R96" s="68" t="s">
        <v>37</v>
      </c>
      <c r="S96" s="47" t="s">
        <v>170</v>
      </c>
      <c r="T96" s="39">
        <v>4.46</v>
      </c>
      <c r="U96" s="39">
        <f t="shared" si="21"/>
        <v>0.1115</v>
      </c>
      <c r="V96" s="66">
        <f t="shared" si="22"/>
        <v>2.2299999999999911</v>
      </c>
    </row>
    <row r="97" spans="2:22" x14ac:dyDescent="0.2">
      <c r="B97" s="84"/>
      <c r="F97" s="48" t="s">
        <v>171</v>
      </c>
      <c r="G97" s="47" t="s">
        <v>172</v>
      </c>
      <c r="H97" s="39">
        <v>2.11</v>
      </c>
      <c r="I97" s="39">
        <f t="shared" si="17"/>
        <v>1.0549999999999999E-2</v>
      </c>
      <c r="J97" s="39">
        <f t="shared" si="18"/>
        <v>0.21099999999999997</v>
      </c>
      <c r="L97" s="68" t="s">
        <v>171</v>
      </c>
      <c r="M97" s="47" t="s">
        <v>172</v>
      </c>
      <c r="N97" s="39">
        <v>1.89</v>
      </c>
      <c r="O97" s="39">
        <f t="shared" si="19"/>
        <v>9.4500000000000001E-3</v>
      </c>
      <c r="P97" s="66">
        <f t="shared" si="20"/>
        <v>0.18899999999999925</v>
      </c>
      <c r="R97" s="68" t="s">
        <v>171</v>
      </c>
      <c r="S97" s="47" t="s">
        <v>172</v>
      </c>
      <c r="T97" s="39">
        <v>1.51</v>
      </c>
      <c r="U97" s="39">
        <f t="shared" si="21"/>
        <v>3.7749999999999999E-2</v>
      </c>
      <c r="V97" s="66">
        <f t="shared" si="22"/>
        <v>0.75499999999999701</v>
      </c>
    </row>
    <row r="98" spans="2:22" x14ac:dyDescent="0.2">
      <c r="B98" s="84"/>
      <c r="F98" s="48" t="s">
        <v>42</v>
      </c>
      <c r="G98" s="47" t="s">
        <v>174</v>
      </c>
      <c r="H98" s="39">
        <v>4.37</v>
      </c>
      <c r="I98" s="39">
        <f t="shared" si="17"/>
        <v>2.1850000000000001E-2</v>
      </c>
      <c r="J98" s="39">
        <f t="shared" si="18"/>
        <v>0.437</v>
      </c>
      <c r="L98" s="68" t="s">
        <v>42</v>
      </c>
      <c r="M98" s="47" t="s">
        <v>174</v>
      </c>
      <c r="N98" s="39">
        <v>5.62</v>
      </c>
      <c r="O98" s="39">
        <f t="shared" si="19"/>
        <v>2.81E-2</v>
      </c>
      <c r="P98" s="66">
        <f t="shared" si="20"/>
        <v>0.56199999999999783</v>
      </c>
      <c r="R98" s="68" t="s">
        <v>42</v>
      </c>
      <c r="S98" s="47" t="s">
        <v>174</v>
      </c>
      <c r="T98" s="39">
        <v>1.28</v>
      </c>
      <c r="U98" s="39">
        <f t="shared" si="21"/>
        <v>3.2000000000000001E-2</v>
      </c>
      <c r="V98" s="66">
        <f t="shared" si="22"/>
        <v>0.63999999999999746</v>
      </c>
    </row>
    <row r="99" spans="2:22" x14ac:dyDescent="0.2">
      <c r="B99" s="84"/>
      <c r="F99" s="48" t="s">
        <v>38</v>
      </c>
      <c r="G99" s="37" t="s">
        <v>175</v>
      </c>
      <c r="H99" s="39">
        <v>0.84</v>
      </c>
      <c r="I99" s="39">
        <f t="shared" si="17"/>
        <v>4.2000000000000006E-3</v>
      </c>
      <c r="J99" s="39">
        <f t="shared" si="18"/>
        <v>8.4000000000000005E-2</v>
      </c>
      <c r="L99" s="68" t="s">
        <v>38</v>
      </c>
      <c r="M99" s="37" t="s">
        <v>175</v>
      </c>
      <c r="N99" s="39">
        <v>1.29</v>
      </c>
      <c r="O99" s="39">
        <f t="shared" si="19"/>
        <v>6.45E-3</v>
      </c>
      <c r="P99" s="66">
        <f t="shared" si="20"/>
        <v>0.1289999999999995</v>
      </c>
      <c r="R99" s="68" t="s">
        <v>38</v>
      </c>
      <c r="S99" s="37" t="s">
        <v>175</v>
      </c>
      <c r="T99" s="39">
        <v>0.93</v>
      </c>
      <c r="U99" s="39">
        <f t="shared" si="21"/>
        <v>2.3250000000000003E-2</v>
      </c>
      <c r="V99" s="66">
        <f t="shared" si="22"/>
        <v>0.46499999999999825</v>
      </c>
    </row>
    <row r="100" spans="2:22" x14ac:dyDescent="0.2">
      <c r="B100" s="84"/>
      <c r="F100" s="48" t="s">
        <v>26</v>
      </c>
      <c r="G100" s="47" t="s">
        <v>177</v>
      </c>
      <c r="H100" s="39">
        <v>0</v>
      </c>
      <c r="I100" s="39">
        <f t="shared" si="17"/>
        <v>0</v>
      </c>
      <c r="J100" s="39">
        <f t="shared" si="18"/>
        <v>0</v>
      </c>
      <c r="L100" s="68" t="s">
        <v>26</v>
      </c>
      <c r="M100" s="47" t="s">
        <v>177</v>
      </c>
      <c r="N100" s="39">
        <v>2.2000000000000002</v>
      </c>
      <c r="O100" s="39">
        <f t="shared" si="19"/>
        <v>1.0999999999999999E-2</v>
      </c>
      <c r="P100" s="66">
        <f t="shared" si="20"/>
        <v>0.21999999999999911</v>
      </c>
      <c r="R100" s="68" t="s">
        <v>26</v>
      </c>
      <c r="S100" s="47" t="s">
        <v>177</v>
      </c>
      <c r="T100" s="39">
        <v>0</v>
      </c>
      <c r="U100" s="39">
        <f t="shared" si="21"/>
        <v>0</v>
      </c>
      <c r="V100" s="66">
        <f t="shared" si="22"/>
        <v>0</v>
      </c>
    </row>
    <row r="101" spans="2:22" x14ac:dyDescent="0.2">
      <c r="B101" s="84"/>
      <c r="F101" s="48" t="s">
        <v>33</v>
      </c>
      <c r="G101" s="47" t="s">
        <v>178</v>
      </c>
      <c r="H101" s="39">
        <v>34.04</v>
      </c>
      <c r="I101" s="39">
        <f t="shared" si="17"/>
        <v>0.17019999999999999</v>
      </c>
      <c r="J101" s="39">
        <f t="shared" si="18"/>
        <v>3.4039999999999995</v>
      </c>
      <c r="L101" s="68" t="s">
        <v>33</v>
      </c>
      <c r="M101" s="47" t="s">
        <v>178</v>
      </c>
      <c r="N101" s="39">
        <v>34.799999999999997</v>
      </c>
      <c r="O101" s="39">
        <f t="shared" si="19"/>
        <v>0.17399999999999999</v>
      </c>
      <c r="P101" s="66">
        <f t="shared" si="20"/>
        <v>3.4799999999999862</v>
      </c>
      <c r="R101" s="68" t="s">
        <v>33</v>
      </c>
      <c r="S101" s="47" t="s">
        <v>178</v>
      </c>
      <c r="T101" s="39">
        <v>44.12</v>
      </c>
      <c r="U101" s="39">
        <f t="shared" si="21"/>
        <v>1.103</v>
      </c>
      <c r="V101" s="66">
        <f t="shared" si="22"/>
        <v>22.059999999999913</v>
      </c>
    </row>
    <row r="102" spans="2:22" x14ac:dyDescent="0.2">
      <c r="B102" s="84"/>
      <c r="F102" s="48" t="s">
        <v>39</v>
      </c>
      <c r="G102" s="47" t="s">
        <v>180</v>
      </c>
      <c r="H102" s="39">
        <v>2.2799999999999998</v>
      </c>
      <c r="I102" s="39">
        <f t="shared" si="17"/>
        <v>1.1399999999999999E-2</v>
      </c>
      <c r="J102" s="39">
        <f t="shared" si="18"/>
        <v>0.22799999999999995</v>
      </c>
      <c r="L102" s="68" t="s">
        <v>39</v>
      </c>
      <c r="M102" s="47" t="s">
        <v>180</v>
      </c>
      <c r="N102" s="39">
        <v>2.0099999999999998</v>
      </c>
      <c r="O102" s="39">
        <f t="shared" si="19"/>
        <v>1.0049999999999998E-2</v>
      </c>
      <c r="P102" s="66">
        <f t="shared" si="20"/>
        <v>0.20099999999999918</v>
      </c>
      <c r="R102" s="68" t="s">
        <v>39</v>
      </c>
      <c r="S102" s="47" t="s">
        <v>180</v>
      </c>
      <c r="T102" s="39">
        <v>1.92</v>
      </c>
      <c r="U102" s="39">
        <f t="shared" si="21"/>
        <v>4.7999999999999994E-2</v>
      </c>
      <c r="V102" s="66">
        <f t="shared" si="22"/>
        <v>0.95999999999999608</v>
      </c>
    </row>
    <row r="103" spans="2:22" x14ac:dyDescent="0.2">
      <c r="B103" s="84"/>
      <c r="F103" s="48" t="s">
        <v>40</v>
      </c>
      <c r="G103" s="47" t="s">
        <v>182</v>
      </c>
      <c r="H103" s="39">
        <v>0</v>
      </c>
      <c r="I103" s="39">
        <f t="shared" si="17"/>
        <v>0</v>
      </c>
      <c r="J103" s="39">
        <f t="shared" si="18"/>
        <v>0</v>
      </c>
      <c r="L103" s="68" t="s">
        <v>40</v>
      </c>
      <c r="M103" s="47" t="s">
        <v>182</v>
      </c>
      <c r="N103" s="39">
        <v>0</v>
      </c>
      <c r="O103" s="39">
        <f t="shared" si="19"/>
        <v>0</v>
      </c>
      <c r="P103" s="66">
        <f t="shared" si="20"/>
        <v>0</v>
      </c>
      <c r="R103" s="68" t="s">
        <v>40</v>
      </c>
      <c r="S103" s="47" t="s">
        <v>182</v>
      </c>
      <c r="T103" s="39">
        <v>0</v>
      </c>
      <c r="U103" s="39">
        <f t="shared" si="21"/>
        <v>0</v>
      </c>
      <c r="V103" s="66">
        <f t="shared" si="22"/>
        <v>0</v>
      </c>
    </row>
    <row r="104" spans="2:22" x14ac:dyDescent="0.2">
      <c r="B104" s="84"/>
      <c r="F104" s="48" t="s">
        <v>43</v>
      </c>
      <c r="G104" s="47" t="s">
        <v>184</v>
      </c>
      <c r="H104" s="39">
        <v>24.62</v>
      </c>
      <c r="I104" s="39">
        <f t="shared" si="17"/>
        <v>0.12310000000000001</v>
      </c>
      <c r="J104" s="39">
        <f t="shared" si="18"/>
        <v>2.4620000000000002</v>
      </c>
      <c r="L104" s="68" t="s">
        <v>43</v>
      </c>
      <c r="M104" s="47" t="s">
        <v>184</v>
      </c>
      <c r="N104" s="39">
        <v>9.09</v>
      </c>
      <c r="O104" s="39">
        <f t="shared" si="19"/>
        <v>4.5450000000000004E-2</v>
      </c>
      <c r="P104" s="66">
        <f t="shared" si="20"/>
        <v>0.90899999999999648</v>
      </c>
      <c r="R104" s="68" t="s">
        <v>43</v>
      </c>
      <c r="S104" s="47" t="s">
        <v>184</v>
      </c>
      <c r="T104" s="39">
        <v>4.05</v>
      </c>
      <c r="U104" s="39">
        <f t="shared" si="21"/>
        <v>0.10125000000000001</v>
      </c>
      <c r="V104" s="66">
        <f t="shared" si="22"/>
        <v>2.0249999999999924</v>
      </c>
    </row>
    <row r="105" spans="2:22" x14ac:dyDescent="0.2">
      <c r="B105" s="84"/>
      <c r="F105" s="86" t="s">
        <v>186</v>
      </c>
      <c r="G105" s="68" t="s">
        <v>187</v>
      </c>
      <c r="H105" s="39">
        <v>1.82</v>
      </c>
      <c r="I105" s="39">
        <f t="shared" si="17"/>
        <v>9.1000000000000004E-3</v>
      </c>
      <c r="J105" s="39">
        <f t="shared" si="18"/>
        <v>0.182</v>
      </c>
      <c r="L105" s="68" t="s">
        <v>186</v>
      </c>
      <c r="M105" s="68" t="s">
        <v>187</v>
      </c>
      <c r="N105" s="66">
        <v>0</v>
      </c>
      <c r="O105" s="39">
        <f t="shared" si="19"/>
        <v>0</v>
      </c>
      <c r="P105" s="66">
        <f t="shared" si="20"/>
        <v>0</v>
      </c>
      <c r="R105" s="68" t="s">
        <v>186</v>
      </c>
      <c r="S105" s="68" t="s">
        <v>187</v>
      </c>
      <c r="T105" s="66">
        <v>0</v>
      </c>
      <c r="U105" s="39">
        <f t="shared" si="21"/>
        <v>0</v>
      </c>
      <c r="V105" s="66">
        <f t="shared" si="22"/>
        <v>0</v>
      </c>
    </row>
    <row r="106" spans="2:22" x14ac:dyDescent="0.2">
      <c r="B106" s="84"/>
      <c r="F106" s="48" t="s">
        <v>44</v>
      </c>
      <c r="G106" s="47" t="s">
        <v>188</v>
      </c>
      <c r="H106" s="39">
        <v>39.19</v>
      </c>
      <c r="I106" s="39">
        <f t="shared" si="17"/>
        <v>0.19594999999999999</v>
      </c>
      <c r="J106" s="39">
        <f t="shared" si="18"/>
        <v>3.9189999999999996</v>
      </c>
      <c r="L106" s="68" t="s">
        <v>44</v>
      </c>
      <c r="M106" s="47" t="s">
        <v>188</v>
      </c>
      <c r="N106" s="39">
        <v>23.21</v>
      </c>
      <c r="O106" s="39">
        <f t="shared" si="19"/>
        <v>0.11605000000000001</v>
      </c>
      <c r="P106" s="66">
        <f t="shared" si="20"/>
        <v>2.3209999999999913</v>
      </c>
      <c r="R106" s="68" t="s">
        <v>44</v>
      </c>
      <c r="S106" s="47" t="s">
        <v>188</v>
      </c>
      <c r="T106" s="39">
        <v>2.6</v>
      </c>
      <c r="U106" s="39">
        <f t="shared" si="21"/>
        <v>6.5000000000000002E-2</v>
      </c>
      <c r="V106" s="66">
        <f t="shared" si="22"/>
        <v>1.2999999999999949</v>
      </c>
    </row>
    <row r="107" spans="2:22" x14ac:dyDescent="0.2">
      <c r="B107" s="84"/>
      <c r="F107" s="86" t="s">
        <v>164</v>
      </c>
      <c r="G107" s="68" t="s">
        <v>189</v>
      </c>
      <c r="H107" s="39">
        <v>1.82</v>
      </c>
      <c r="I107" s="39">
        <f t="shared" si="17"/>
        <v>9.1000000000000004E-3</v>
      </c>
      <c r="J107" s="39">
        <f t="shared" si="18"/>
        <v>0.182</v>
      </c>
      <c r="L107" s="68" t="s">
        <v>164</v>
      </c>
      <c r="M107" s="68" t="s">
        <v>189</v>
      </c>
      <c r="N107" s="66">
        <v>0</v>
      </c>
      <c r="O107" s="39">
        <f t="shared" si="19"/>
        <v>0</v>
      </c>
      <c r="P107" s="66">
        <f t="shared" si="20"/>
        <v>0</v>
      </c>
      <c r="R107" s="68" t="s">
        <v>164</v>
      </c>
      <c r="S107" s="68" t="s">
        <v>189</v>
      </c>
      <c r="T107" s="66">
        <v>0</v>
      </c>
      <c r="U107" s="39">
        <f t="shared" si="21"/>
        <v>0</v>
      </c>
      <c r="V107" s="66">
        <f t="shared" si="22"/>
        <v>0</v>
      </c>
    </row>
    <row r="108" spans="2:22" x14ac:dyDescent="0.2">
      <c r="B108" s="84"/>
      <c r="F108" s="48" t="s">
        <v>166</v>
      </c>
      <c r="G108" s="47" t="s">
        <v>190</v>
      </c>
      <c r="H108" s="39">
        <v>0</v>
      </c>
      <c r="I108" s="39">
        <f t="shared" si="17"/>
        <v>0</v>
      </c>
      <c r="J108" s="39">
        <f t="shared" si="18"/>
        <v>0</v>
      </c>
      <c r="L108" s="68" t="s">
        <v>166</v>
      </c>
      <c r="M108" s="47" t="s">
        <v>190</v>
      </c>
      <c r="N108" s="39">
        <v>0</v>
      </c>
      <c r="O108" s="39">
        <f t="shared" si="19"/>
        <v>0</v>
      </c>
      <c r="P108" s="66">
        <f t="shared" si="20"/>
        <v>0</v>
      </c>
      <c r="R108" s="68" t="s">
        <v>166</v>
      </c>
      <c r="S108" s="47" t="s">
        <v>190</v>
      </c>
      <c r="T108" s="39">
        <v>0</v>
      </c>
      <c r="U108" s="39">
        <f t="shared" si="21"/>
        <v>0</v>
      </c>
      <c r="V108" s="66">
        <f t="shared" si="22"/>
        <v>0</v>
      </c>
    </row>
    <row r="109" spans="2:22" x14ac:dyDescent="0.2">
      <c r="B109" s="84"/>
      <c r="F109" s="48" t="s">
        <v>34</v>
      </c>
      <c r="G109" s="47" t="s">
        <v>191</v>
      </c>
      <c r="H109" s="39">
        <v>3.65</v>
      </c>
      <c r="I109" s="39">
        <f t="shared" si="17"/>
        <v>1.8249999999999999E-2</v>
      </c>
      <c r="J109" s="39">
        <f t="shared" si="18"/>
        <v>0.36499999999999994</v>
      </c>
      <c r="L109" s="68" t="s">
        <v>34</v>
      </c>
      <c r="M109" s="47" t="s">
        <v>191</v>
      </c>
      <c r="N109" s="39">
        <v>7.95</v>
      </c>
      <c r="O109" s="39">
        <f t="shared" si="19"/>
        <v>3.9750000000000001E-2</v>
      </c>
      <c r="P109" s="66">
        <f t="shared" si="20"/>
        <v>0.79499999999999693</v>
      </c>
      <c r="R109" s="68" t="s">
        <v>34</v>
      </c>
      <c r="S109" s="47" t="s">
        <v>191</v>
      </c>
      <c r="T109" s="39">
        <v>4.54</v>
      </c>
      <c r="U109" s="39">
        <f t="shared" si="21"/>
        <v>0.11349999999999999</v>
      </c>
      <c r="V109" s="66">
        <f t="shared" si="22"/>
        <v>2.2699999999999907</v>
      </c>
    </row>
    <row r="110" spans="2:22" x14ac:dyDescent="0.2">
      <c r="B110" s="84"/>
      <c r="F110" s="48" t="s">
        <v>27</v>
      </c>
      <c r="G110" s="47" t="s">
        <v>192</v>
      </c>
      <c r="H110" s="39">
        <v>18.04</v>
      </c>
      <c r="I110" s="39">
        <f t="shared" si="17"/>
        <v>9.0199999999999989E-2</v>
      </c>
      <c r="J110" s="39">
        <f t="shared" si="18"/>
        <v>1.8039999999999996</v>
      </c>
      <c r="L110" s="68" t="s">
        <v>27</v>
      </c>
      <c r="M110" s="47" t="s">
        <v>192</v>
      </c>
      <c r="N110" s="39">
        <v>6.46</v>
      </c>
      <c r="O110" s="39">
        <f t="shared" si="19"/>
        <v>3.2299999999999995E-2</v>
      </c>
      <c r="P110" s="66">
        <f t="shared" si="20"/>
        <v>0.64599999999999735</v>
      </c>
      <c r="R110" s="68" t="s">
        <v>27</v>
      </c>
      <c r="S110" s="47" t="s">
        <v>192</v>
      </c>
      <c r="T110" s="39">
        <v>11.26</v>
      </c>
      <c r="U110" s="39">
        <f t="shared" si="21"/>
        <v>0.28149999999999997</v>
      </c>
      <c r="V110" s="66">
        <f t="shared" si="22"/>
        <v>5.6299999999999777</v>
      </c>
    </row>
    <row r="111" spans="2:22" x14ac:dyDescent="0.2">
      <c r="B111" s="84"/>
      <c r="F111" s="48" t="s">
        <v>45</v>
      </c>
      <c r="G111" s="47" t="s">
        <v>193</v>
      </c>
      <c r="H111" s="39">
        <v>292.64999999999998</v>
      </c>
      <c r="I111" s="39">
        <f t="shared" si="17"/>
        <v>1.4632499999999999</v>
      </c>
      <c r="J111" s="39">
        <f t="shared" si="18"/>
        <v>29.264999999999997</v>
      </c>
      <c r="L111" s="68" t="s">
        <v>45</v>
      </c>
      <c r="M111" s="47" t="s">
        <v>193</v>
      </c>
      <c r="N111" s="39">
        <v>126.02</v>
      </c>
      <c r="O111" s="39">
        <f t="shared" si="19"/>
        <v>0.63009999999999999</v>
      </c>
      <c r="P111" s="66">
        <f t="shared" si="20"/>
        <v>12.601999999999951</v>
      </c>
      <c r="R111" s="68" t="s">
        <v>45</v>
      </c>
      <c r="S111" s="47" t="s">
        <v>193</v>
      </c>
      <c r="T111" s="39">
        <v>34.54</v>
      </c>
      <c r="U111" s="39">
        <f t="shared" si="21"/>
        <v>0.86349999999999993</v>
      </c>
      <c r="V111" s="66">
        <f t="shared" si="22"/>
        <v>17.269999999999932</v>
      </c>
    </row>
    <row r="112" spans="2:22" x14ac:dyDescent="0.2">
      <c r="B112" s="84"/>
      <c r="F112" s="48" t="s">
        <v>169</v>
      </c>
      <c r="G112" s="47" t="s">
        <v>194</v>
      </c>
      <c r="H112" s="39">
        <v>2.62</v>
      </c>
      <c r="I112" s="39">
        <f t="shared" si="17"/>
        <v>1.3100000000000002E-2</v>
      </c>
      <c r="J112" s="39">
        <f t="shared" si="18"/>
        <v>0.26200000000000001</v>
      </c>
      <c r="L112" s="68" t="s">
        <v>169</v>
      </c>
      <c r="M112" s="47" t="s">
        <v>194</v>
      </c>
      <c r="N112" s="39">
        <v>0</v>
      </c>
      <c r="O112" s="39">
        <f t="shared" si="19"/>
        <v>0</v>
      </c>
      <c r="P112" s="66">
        <f t="shared" si="20"/>
        <v>0</v>
      </c>
      <c r="R112" s="68" t="s">
        <v>169</v>
      </c>
      <c r="S112" s="47" t="s">
        <v>194</v>
      </c>
      <c r="T112" s="39">
        <v>0</v>
      </c>
      <c r="U112" s="39">
        <f t="shared" si="21"/>
        <v>0</v>
      </c>
      <c r="V112" s="66">
        <f t="shared" si="22"/>
        <v>0</v>
      </c>
    </row>
    <row r="113" spans="1:22" x14ac:dyDescent="0.2">
      <c r="B113" s="84"/>
      <c r="F113" s="48" t="s">
        <v>35</v>
      </c>
      <c r="G113" s="47" t="s">
        <v>196</v>
      </c>
      <c r="H113" s="39">
        <v>0</v>
      </c>
      <c r="I113" s="39">
        <f t="shared" si="17"/>
        <v>0</v>
      </c>
      <c r="J113" s="39">
        <f t="shared" si="18"/>
        <v>0</v>
      </c>
      <c r="L113" s="68" t="s">
        <v>35</v>
      </c>
      <c r="M113" s="47" t="s">
        <v>196</v>
      </c>
      <c r="N113" s="39">
        <v>9.66</v>
      </c>
      <c r="O113" s="39">
        <f t="shared" si="19"/>
        <v>4.8299999999999996E-2</v>
      </c>
      <c r="P113" s="66">
        <f t="shared" si="20"/>
        <v>0.96599999999999608</v>
      </c>
      <c r="R113" s="68" t="s">
        <v>35</v>
      </c>
      <c r="S113" s="47" t="s">
        <v>196</v>
      </c>
      <c r="T113" s="39">
        <v>0</v>
      </c>
      <c r="U113" s="39">
        <f t="shared" si="21"/>
        <v>0</v>
      </c>
      <c r="V113" s="66">
        <f t="shared" si="22"/>
        <v>0</v>
      </c>
    </row>
    <row r="114" spans="1:22" x14ac:dyDescent="0.2">
      <c r="B114" s="84"/>
      <c r="F114" s="68"/>
      <c r="G114" s="68"/>
      <c r="H114" s="39" t="s">
        <v>221</v>
      </c>
      <c r="I114" s="39">
        <f>SUM(I84:I112)</f>
        <v>4.8727</v>
      </c>
      <c r="J114" s="68"/>
      <c r="N114" s="39" t="s">
        <v>221</v>
      </c>
      <c r="O114" s="39">
        <f>SUM(O84:O112)</f>
        <v>4.3450500000000005</v>
      </c>
      <c r="T114" s="39" t="s">
        <v>221</v>
      </c>
      <c r="U114" s="39">
        <f>SUM(U84:U112)</f>
        <v>13.02875</v>
      </c>
    </row>
    <row r="115" spans="1:22" x14ac:dyDescent="0.2">
      <c r="B115" s="84"/>
    </row>
    <row r="116" spans="1:22" ht="16" x14ac:dyDescent="0.2">
      <c r="B116" s="84"/>
      <c r="H116" s="87">
        <v>84</v>
      </c>
      <c r="I116" s="47"/>
    </row>
    <row r="117" spans="1:22" x14ac:dyDescent="0.2">
      <c r="A117" s="40"/>
      <c r="B117" s="83"/>
      <c r="F117" s="47" t="s">
        <v>216</v>
      </c>
      <c r="G117" s="47" t="s">
        <v>217</v>
      </c>
      <c r="H117" s="39" t="s">
        <v>218</v>
      </c>
      <c r="I117" s="39" t="s">
        <v>219</v>
      </c>
      <c r="J117" s="39" t="s">
        <v>220</v>
      </c>
    </row>
    <row r="118" spans="1:22" x14ac:dyDescent="0.2">
      <c r="B118" s="84"/>
      <c r="F118" s="47" t="s">
        <v>147</v>
      </c>
      <c r="G118" s="47" t="s">
        <v>148</v>
      </c>
      <c r="H118" s="39">
        <v>0</v>
      </c>
      <c r="I118" s="39">
        <f t="shared" ref="I118:I151" si="23">(H118*5)/1000</f>
        <v>0</v>
      </c>
      <c r="J118" s="39">
        <f t="shared" ref="J118:J151" si="24">I118/$C$6</f>
        <v>0</v>
      </c>
    </row>
    <row r="119" spans="1:22" x14ac:dyDescent="0.2">
      <c r="B119" s="84"/>
      <c r="F119" s="47" t="s">
        <v>18</v>
      </c>
      <c r="G119" s="63" t="s">
        <v>149</v>
      </c>
      <c r="H119" s="39">
        <v>0</v>
      </c>
      <c r="I119" s="39">
        <f t="shared" si="23"/>
        <v>0</v>
      </c>
      <c r="J119" s="39">
        <f t="shared" si="24"/>
        <v>0</v>
      </c>
    </row>
    <row r="120" spans="1:22" x14ac:dyDescent="0.2">
      <c r="F120" s="47" t="s">
        <v>150</v>
      </c>
      <c r="G120" s="63" t="s">
        <v>151</v>
      </c>
      <c r="H120" s="39">
        <v>0</v>
      </c>
      <c r="I120" s="39">
        <f t="shared" si="23"/>
        <v>0</v>
      </c>
      <c r="J120" s="39">
        <f t="shared" si="24"/>
        <v>0</v>
      </c>
    </row>
    <row r="121" spans="1:22" x14ac:dyDescent="0.2">
      <c r="F121" s="47" t="s">
        <v>152</v>
      </c>
      <c r="G121" s="63" t="s">
        <v>153</v>
      </c>
      <c r="H121" s="39">
        <v>0</v>
      </c>
      <c r="I121" s="39">
        <f t="shared" si="23"/>
        <v>0</v>
      </c>
      <c r="J121" s="39">
        <f t="shared" si="24"/>
        <v>0</v>
      </c>
    </row>
    <row r="122" spans="1:22" x14ac:dyDescent="0.2">
      <c r="F122" s="47" t="s">
        <v>19</v>
      </c>
      <c r="G122" s="63" t="s">
        <v>154</v>
      </c>
      <c r="H122" s="39">
        <v>0</v>
      </c>
      <c r="I122" s="39">
        <f t="shared" si="23"/>
        <v>0</v>
      </c>
      <c r="J122" s="39">
        <f t="shared" si="24"/>
        <v>0</v>
      </c>
    </row>
    <row r="123" spans="1:22" x14ac:dyDescent="0.2">
      <c r="F123" s="67" t="s">
        <v>20</v>
      </c>
      <c r="G123" s="65" t="s">
        <v>155</v>
      </c>
      <c r="H123" s="39">
        <v>0</v>
      </c>
      <c r="I123" s="39">
        <f t="shared" si="23"/>
        <v>0</v>
      </c>
      <c r="J123" s="39">
        <f t="shared" si="24"/>
        <v>0</v>
      </c>
    </row>
    <row r="124" spans="1:22" x14ac:dyDescent="0.2">
      <c r="F124" s="47" t="s">
        <v>21</v>
      </c>
      <c r="G124" s="63" t="s">
        <v>156</v>
      </c>
      <c r="H124" s="39">
        <v>1.02</v>
      </c>
      <c r="I124" s="39">
        <f t="shared" si="23"/>
        <v>5.0999999999999995E-3</v>
      </c>
      <c r="J124" s="39">
        <f t="shared" si="24"/>
        <v>0.10199999999999998</v>
      </c>
    </row>
    <row r="125" spans="1:22" x14ac:dyDescent="0.2">
      <c r="F125" s="47" t="s">
        <v>29</v>
      </c>
      <c r="G125" s="63" t="s">
        <v>157</v>
      </c>
      <c r="H125" s="39">
        <v>1.27</v>
      </c>
      <c r="I125" s="39">
        <f t="shared" si="23"/>
        <v>6.3499999999999997E-3</v>
      </c>
      <c r="J125" s="39">
        <f t="shared" si="24"/>
        <v>0.12699999999999997</v>
      </c>
    </row>
    <row r="126" spans="1:22" x14ac:dyDescent="0.2">
      <c r="F126" s="47" t="s">
        <v>22</v>
      </c>
      <c r="G126" s="63" t="s">
        <v>158</v>
      </c>
      <c r="H126" s="39">
        <v>0</v>
      </c>
      <c r="I126" s="39">
        <f t="shared" si="23"/>
        <v>0</v>
      </c>
      <c r="J126" s="39">
        <f t="shared" si="24"/>
        <v>0</v>
      </c>
    </row>
    <row r="127" spans="1:22" x14ac:dyDescent="0.2">
      <c r="F127" s="47" t="s">
        <v>159</v>
      </c>
      <c r="G127" s="47" t="s">
        <v>160</v>
      </c>
      <c r="H127" s="39">
        <v>0</v>
      </c>
      <c r="I127" s="39">
        <f t="shared" si="23"/>
        <v>0</v>
      </c>
      <c r="J127" s="39">
        <f t="shared" si="24"/>
        <v>0</v>
      </c>
    </row>
    <row r="128" spans="1:22" x14ac:dyDescent="0.2">
      <c r="F128" s="47" t="s">
        <v>23</v>
      </c>
      <c r="G128" s="47" t="s">
        <v>161</v>
      </c>
      <c r="H128" s="39">
        <v>11.43</v>
      </c>
      <c r="I128" s="39">
        <f t="shared" si="23"/>
        <v>5.7149999999999999E-2</v>
      </c>
      <c r="J128" s="39">
        <f t="shared" si="24"/>
        <v>1.143</v>
      </c>
    </row>
    <row r="129" spans="6:10" x14ac:dyDescent="0.2">
      <c r="F129" s="47" t="s">
        <v>30</v>
      </c>
      <c r="G129" s="47" t="s">
        <v>162</v>
      </c>
      <c r="H129" s="39">
        <v>1.89</v>
      </c>
      <c r="I129" s="39">
        <f t="shared" si="23"/>
        <v>9.4500000000000001E-3</v>
      </c>
      <c r="J129" s="39">
        <f t="shared" si="24"/>
        <v>0.189</v>
      </c>
    </row>
    <row r="130" spans="6:10" x14ac:dyDescent="0.2">
      <c r="F130" s="47" t="s">
        <v>24</v>
      </c>
      <c r="G130" s="47" t="s">
        <v>163</v>
      </c>
      <c r="H130" s="39">
        <v>2.2599999999999998</v>
      </c>
      <c r="I130" s="39">
        <f t="shared" si="23"/>
        <v>1.1299999999999999E-2</v>
      </c>
      <c r="J130" s="39">
        <f t="shared" si="24"/>
        <v>0.22599999999999998</v>
      </c>
    </row>
    <row r="131" spans="6:10" x14ac:dyDescent="0.2">
      <c r="F131" s="47" t="s">
        <v>31</v>
      </c>
      <c r="G131" s="47" t="s">
        <v>165</v>
      </c>
      <c r="H131" s="39">
        <v>0</v>
      </c>
      <c r="I131" s="39">
        <f t="shared" si="23"/>
        <v>0</v>
      </c>
      <c r="J131" s="39">
        <f t="shared" si="24"/>
        <v>0</v>
      </c>
    </row>
    <row r="132" spans="6:10" x14ac:dyDescent="0.2">
      <c r="F132" s="47" t="s">
        <v>25</v>
      </c>
      <c r="G132" s="47" t="s">
        <v>167</v>
      </c>
      <c r="H132" s="39">
        <v>5.03</v>
      </c>
      <c r="I132" s="39">
        <f t="shared" si="23"/>
        <v>2.5150000000000002E-2</v>
      </c>
      <c r="J132" s="39">
        <f t="shared" si="24"/>
        <v>0.503</v>
      </c>
    </row>
    <row r="133" spans="6:10" x14ac:dyDescent="0.2">
      <c r="F133" s="47" t="s">
        <v>32</v>
      </c>
      <c r="G133" s="47" t="s">
        <v>168</v>
      </c>
      <c r="H133" s="39">
        <v>32.92</v>
      </c>
      <c r="I133" s="39">
        <f t="shared" si="23"/>
        <v>0.16460000000000002</v>
      </c>
      <c r="J133" s="39">
        <f t="shared" si="24"/>
        <v>3.2920000000000003</v>
      </c>
    </row>
    <row r="134" spans="6:10" x14ac:dyDescent="0.2">
      <c r="F134" s="47" t="s">
        <v>37</v>
      </c>
      <c r="G134" s="47" t="s">
        <v>170</v>
      </c>
      <c r="H134" s="39">
        <v>0</v>
      </c>
      <c r="I134" s="39">
        <f t="shared" si="23"/>
        <v>0</v>
      </c>
      <c r="J134" s="39">
        <f t="shared" si="24"/>
        <v>0</v>
      </c>
    </row>
    <row r="135" spans="6:10" x14ac:dyDescent="0.2">
      <c r="F135" s="47" t="s">
        <v>171</v>
      </c>
      <c r="G135" s="47" t="s">
        <v>172</v>
      </c>
      <c r="H135" s="39">
        <v>0</v>
      </c>
      <c r="I135" s="39">
        <f t="shared" si="23"/>
        <v>0</v>
      </c>
      <c r="J135" s="39">
        <f t="shared" si="24"/>
        <v>0</v>
      </c>
    </row>
    <row r="136" spans="6:10" x14ac:dyDescent="0.2">
      <c r="F136" s="47" t="s">
        <v>42</v>
      </c>
      <c r="G136" s="47" t="s">
        <v>174</v>
      </c>
      <c r="H136" s="39">
        <v>0</v>
      </c>
      <c r="I136" s="39">
        <f t="shared" si="23"/>
        <v>0</v>
      </c>
      <c r="J136" s="39">
        <f t="shared" si="24"/>
        <v>0</v>
      </c>
    </row>
    <row r="137" spans="6:10" x14ac:dyDescent="0.2">
      <c r="F137" s="67" t="s">
        <v>38</v>
      </c>
      <c r="G137" s="37" t="s">
        <v>175</v>
      </c>
      <c r="H137" s="39">
        <v>0</v>
      </c>
      <c r="I137" s="39">
        <f t="shared" si="23"/>
        <v>0</v>
      </c>
      <c r="J137" s="39">
        <f t="shared" si="24"/>
        <v>0</v>
      </c>
    </row>
    <row r="138" spans="6:10" x14ac:dyDescent="0.2">
      <c r="F138" s="47" t="s">
        <v>26</v>
      </c>
      <c r="G138" s="47" t="s">
        <v>177</v>
      </c>
      <c r="H138" s="39">
        <v>0</v>
      </c>
      <c r="I138" s="39">
        <f t="shared" si="23"/>
        <v>0</v>
      </c>
      <c r="J138" s="39">
        <f t="shared" si="24"/>
        <v>0</v>
      </c>
    </row>
    <row r="139" spans="6:10" x14ac:dyDescent="0.2">
      <c r="F139" s="47" t="s">
        <v>33</v>
      </c>
      <c r="G139" s="47" t="s">
        <v>178</v>
      </c>
      <c r="H139" s="39">
        <v>4.45</v>
      </c>
      <c r="I139" s="39">
        <f t="shared" si="23"/>
        <v>2.2249999999999999E-2</v>
      </c>
      <c r="J139" s="39">
        <f t="shared" si="24"/>
        <v>0.44499999999999995</v>
      </c>
    </row>
    <row r="140" spans="6:10" x14ac:dyDescent="0.2">
      <c r="F140" s="47" t="s">
        <v>39</v>
      </c>
      <c r="G140" s="47" t="s">
        <v>180</v>
      </c>
      <c r="H140" s="39">
        <v>0</v>
      </c>
      <c r="I140" s="39">
        <f t="shared" si="23"/>
        <v>0</v>
      </c>
      <c r="J140" s="39">
        <f t="shared" si="24"/>
        <v>0</v>
      </c>
    </row>
    <row r="141" spans="6:10" x14ac:dyDescent="0.2">
      <c r="F141" s="47" t="s">
        <v>40</v>
      </c>
      <c r="G141" s="47" t="s">
        <v>182</v>
      </c>
      <c r="H141" s="39">
        <v>0</v>
      </c>
      <c r="I141" s="39">
        <f t="shared" si="23"/>
        <v>0</v>
      </c>
      <c r="J141" s="39">
        <f t="shared" si="24"/>
        <v>0</v>
      </c>
    </row>
    <row r="142" spans="6:10" x14ac:dyDescent="0.2">
      <c r="F142" s="67" t="s">
        <v>43</v>
      </c>
      <c r="G142" s="47" t="s">
        <v>184</v>
      </c>
      <c r="H142" s="39">
        <v>3.78</v>
      </c>
      <c r="I142" s="39">
        <f t="shared" si="23"/>
        <v>1.89E-2</v>
      </c>
      <c r="J142" s="39">
        <f t="shared" si="24"/>
        <v>0.378</v>
      </c>
    </row>
    <row r="143" spans="6:10" x14ac:dyDescent="0.2">
      <c r="F143" s="68" t="s">
        <v>186</v>
      </c>
      <c r="G143" s="68" t="s">
        <v>187</v>
      </c>
      <c r="H143" s="83">
        <v>0</v>
      </c>
      <c r="I143" s="39">
        <f t="shared" si="23"/>
        <v>0</v>
      </c>
      <c r="J143" s="39">
        <f t="shared" si="24"/>
        <v>0</v>
      </c>
    </row>
    <row r="144" spans="6:10" x14ac:dyDescent="0.2">
      <c r="F144" s="47" t="s">
        <v>44</v>
      </c>
      <c r="G144" s="47" t="s">
        <v>188</v>
      </c>
      <c r="H144" s="39">
        <v>6.95</v>
      </c>
      <c r="I144" s="39">
        <f t="shared" si="23"/>
        <v>3.4750000000000003E-2</v>
      </c>
      <c r="J144" s="39">
        <f t="shared" si="24"/>
        <v>0.69500000000000006</v>
      </c>
    </row>
    <row r="145" spans="6:10" x14ac:dyDescent="0.2">
      <c r="F145" s="68" t="s">
        <v>164</v>
      </c>
      <c r="G145" s="68" t="s">
        <v>189</v>
      </c>
      <c r="H145" s="83">
        <v>0</v>
      </c>
      <c r="I145" s="39">
        <f t="shared" si="23"/>
        <v>0</v>
      </c>
      <c r="J145" s="39">
        <f t="shared" si="24"/>
        <v>0</v>
      </c>
    </row>
    <row r="146" spans="6:10" x14ac:dyDescent="0.2">
      <c r="F146" s="47" t="s">
        <v>166</v>
      </c>
      <c r="G146" s="47" t="s">
        <v>190</v>
      </c>
      <c r="H146" s="39">
        <v>0</v>
      </c>
      <c r="I146" s="39">
        <f t="shared" si="23"/>
        <v>0</v>
      </c>
      <c r="J146" s="39">
        <f t="shared" si="24"/>
        <v>0</v>
      </c>
    </row>
    <row r="147" spans="6:10" x14ac:dyDescent="0.2">
      <c r="F147" s="47" t="s">
        <v>34</v>
      </c>
      <c r="G147" s="47" t="s">
        <v>191</v>
      </c>
      <c r="H147" s="39">
        <v>0</v>
      </c>
      <c r="I147" s="39">
        <f t="shared" si="23"/>
        <v>0</v>
      </c>
      <c r="J147" s="39">
        <f t="shared" si="24"/>
        <v>0</v>
      </c>
    </row>
    <row r="148" spans="6:10" x14ac:dyDescent="0.2">
      <c r="F148" s="47" t="s">
        <v>27</v>
      </c>
      <c r="G148" s="47" t="s">
        <v>192</v>
      </c>
      <c r="H148" s="39">
        <v>6.4</v>
      </c>
      <c r="I148" s="39">
        <f t="shared" si="23"/>
        <v>3.2000000000000001E-2</v>
      </c>
      <c r="J148" s="39">
        <f t="shared" si="24"/>
        <v>0.64</v>
      </c>
    </row>
    <row r="149" spans="6:10" x14ac:dyDescent="0.2">
      <c r="F149" s="47" t="s">
        <v>45</v>
      </c>
      <c r="G149" s="47" t="s">
        <v>193</v>
      </c>
      <c r="H149" s="39">
        <v>81.27</v>
      </c>
      <c r="I149" s="39">
        <f t="shared" si="23"/>
        <v>0.40634999999999999</v>
      </c>
      <c r="J149" s="39">
        <f t="shared" si="24"/>
        <v>8.1269999999999989</v>
      </c>
    </row>
    <row r="150" spans="6:10" x14ac:dyDescent="0.2">
      <c r="F150" s="47" t="s">
        <v>169</v>
      </c>
      <c r="G150" s="47" t="s">
        <v>194</v>
      </c>
      <c r="H150" s="39">
        <v>0</v>
      </c>
      <c r="I150" s="39">
        <f t="shared" si="23"/>
        <v>0</v>
      </c>
      <c r="J150" s="39">
        <f t="shared" si="24"/>
        <v>0</v>
      </c>
    </row>
    <row r="151" spans="6:10" x14ac:dyDescent="0.2">
      <c r="F151" s="47" t="s">
        <v>35</v>
      </c>
      <c r="G151" s="47" t="s">
        <v>196</v>
      </c>
      <c r="H151" s="39">
        <v>0</v>
      </c>
      <c r="I151" s="39">
        <f t="shared" si="23"/>
        <v>0</v>
      </c>
      <c r="J151" s="39">
        <f t="shared" si="24"/>
        <v>0</v>
      </c>
    </row>
    <row r="152" spans="6:10" x14ac:dyDescent="0.2">
      <c r="H152" s="39" t="s">
        <v>221</v>
      </c>
      <c r="I152" s="39">
        <f>SUM(I118:I151)</f>
        <v>0.79335</v>
      </c>
    </row>
    <row r="154" spans="6:10" ht="16" x14ac:dyDescent="0.2">
      <c r="H154" s="36">
        <v>119</v>
      </c>
      <c r="I154" s="40"/>
    </row>
    <row r="155" spans="6:10" x14ac:dyDescent="0.2">
      <c r="F155" s="47" t="s">
        <v>216</v>
      </c>
      <c r="G155" s="47" t="s">
        <v>217</v>
      </c>
      <c r="H155" s="39" t="s">
        <v>218</v>
      </c>
      <c r="I155" s="39" t="s">
        <v>219</v>
      </c>
      <c r="J155" s="39" t="s">
        <v>220</v>
      </c>
    </row>
    <row r="156" spans="6:10" x14ac:dyDescent="0.2">
      <c r="F156" s="47" t="s">
        <v>147</v>
      </c>
      <c r="G156" s="47" t="s">
        <v>148</v>
      </c>
      <c r="H156" s="39">
        <v>0</v>
      </c>
      <c r="I156" s="39">
        <f t="shared" ref="I156:I189" si="25">(H156*5)/1000</f>
        <v>0</v>
      </c>
      <c r="J156" s="39">
        <f t="shared" ref="J156:J189" si="26">I156/$C$7</f>
        <v>0</v>
      </c>
    </row>
    <row r="157" spans="6:10" x14ac:dyDescent="0.2">
      <c r="F157" s="47" t="s">
        <v>18</v>
      </c>
      <c r="G157" s="63" t="s">
        <v>149</v>
      </c>
      <c r="H157" s="39">
        <v>0</v>
      </c>
      <c r="I157" s="39">
        <f t="shared" si="25"/>
        <v>0</v>
      </c>
      <c r="J157" s="39">
        <f t="shared" si="26"/>
        <v>0</v>
      </c>
    </row>
    <row r="158" spans="6:10" x14ac:dyDescent="0.2">
      <c r="F158" s="47" t="s">
        <v>150</v>
      </c>
      <c r="G158" s="63" t="s">
        <v>151</v>
      </c>
      <c r="H158" s="39">
        <v>0</v>
      </c>
      <c r="I158" s="39">
        <f t="shared" si="25"/>
        <v>0</v>
      </c>
      <c r="J158" s="39">
        <f t="shared" si="26"/>
        <v>0</v>
      </c>
    </row>
    <row r="159" spans="6:10" x14ac:dyDescent="0.2">
      <c r="F159" s="47" t="s">
        <v>152</v>
      </c>
      <c r="G159" s="63" t="s">
        <v>153</v>
      </c>
      <c r="H159" s="39">
        <v>0</v>
      </c>
      <c r="I159" s="39">
        <f t="shared" si="25"/>
        <v>0</v>
      </c>
      <c r="J159" s="39">
        <f t="shared" si="26"/>
        <v>0</v>
      </c>
    </row>
    <row r="160" spans="6:10" x14ac:dyDescent="0.2">
      <c r="F160" s="47" t="s">
        <v>19</v>
      </c>
      <c r="G160" s="63" t="s">
        <v>154</v>
      </c>
      <c r="H160" s="39">
        <v>0</v>
      </c>
      <c r="I160" s="39">
        <f t="shared" si="25"/>
        <v>0</v>
      </c>
      <c r="J160" s="39">
        <f t="shared" si="26"/>
        <v>0</v>
      </c>
    </row>
    <row r="161" spans="6:10" x14ac:dyDescent="0.2">
      <c r="F161" s="47" t="s">
        <v>20</v>
      </c>
      <c r="G161" s="65" t="s">
        <v>155</v>
      </c>
      <c r="H161" s="66">
        <v>0</v>
      </c>
      <c r="I161" s="39">
        <f t="shared" si="25"/>
        <v>0</v>
      </c>
      <c r="J161" s="39">
        <f t="shared" si="26"/>
        <v>0</v>
      </c>
    </row>
    <row r="162" spans="6:10" x14ac:dyDescent="0.2">
      <c r="F162" s="47" t="s">
        <v>21</v>
      </c>
      <c r="G162" s="63" t="s">
        <v>156</v>
      </c>
      <c r="H162" s="39">
        <v>5.65</v>
      </c>
      <c r="I162" s="39">
        <f t="shared" si="25"/>
        <v>2.8250000000000001E-2</v>
      </c>
      <c r="J162" s="39">
        <f t="shared" si="26"/>
        <v>0.56499999999999995</v>
      </c>
    </row>
    <row r="163" spans="6:10" x14ac:dyDescent="0.2">
      <c r="F163" s="47" t="s">
        <v>29</v>
      </c>
      <c r="G163" s="63" t="s">
        <v>157</v>
      </c>
      <c r="H163" s="39">
        <v>0</v>
      </c>
      <c r="I163" s="39">
        <f t="shared" si="25"/>
        <v>0</v>
      </c>
      <c r="J163" s="39">
        <f t="shared" si="26"/>
        <v>0</v>
      </c>
    </row>
    <row r="164" spans="6:10" x14ac:dyDescent="0.2">
      <c r="F164" s="47" t="s">
        <v>22</v>
      </c>
      <c r="G164" s="63" t="s">
        <v>158</v>
      </c>
      <c r="H164" s="39">
        <v>1.95</v>
      </c>
      <c r="I164" s="39">
        <f t="shared" si="25"/>
        <v>9.75E-3</v>
      </c>
      <c r="J164" s="39">
        <f t="shared" si="26"/>
        <v>0.19499999999999998</v>
      </c>
    </row>
    <row r="165" spans="6:10" x14ac:dyDescent="0.2">
      <c r="F165" s="47" t="s">
        <v>159</v>
      </c>
      <c r="G165" s="47" t="s">
        <v>160</v>
      </c>
      <c r="H165" s="39">
        <v>0</v>
      </c>
      <c r="I165" s="39">
        <f t="shared" si="25"/>
        <v>0</v>
      </c>
      <c r="J165" s="39">
        <f t="shared" si="26"/>
        <v>0</v>
      </c>
    </row>
    <row r="166" spans="6:10" x14ac:dyDescent="0.2">
      <c r="F166" s="47" t="s">
        <v>23</v>
      </c>
      <c r="G166" s="47" t="s">
        <v>161</v>
      </c>
      <c r="H166" s="39">
        <v>37.229999999999997</v>
      </c>
      <c r="I166" s="39">
        <f t="shared" si="25"/>
        <v>0.18614999999999998</v>
      </c>
      <c r="J166" s="39">
        <f t="shared" si="26"/>
        <v>3.7229999999999994</v>
      </c>
    </row>
    <row r="167" spans="6:10" x14ac:dyDescent="0.2">
      <c r="F167" s="47" t="s">
        <v>30</v>
      </c>
      <c r="G167" s="47" t="s">
        <v>162</v>
      </c>
      <c r="H167" s="39">
        <v>6.08</v>
      </c>
      <c r="I167" s="39">
        <f t="shared" si="25"/>
        <v>3.04E-2</v>
      </c>
      <c r="J167" s="39">
        <f t="shared" si="26"/>
        <v>0.60799999999999998</v>
      </c>
    </row>
    <row r="168" spans="6:10" x14ac:dyDescent="0.2">
      <c r="F168" s="47" t="s">
        <v>24</v>
      </c>
      <c r="G168" s="47" t="s">
        <v>163</v>
      </c>
      <c r="H168" s="39">
        <v>1.79</v>
      </c>
      <c r="I168" s="39">
        <f t="shared" si="25"/>
        <v>8.9499999999999996E-3</v>
      </c>
      <c r="J168" s="39">
        <f t="shared" si="26"/>
        <v>0.17899999999999999</v>
      </c>
    </row>
    <row r="169" spans="6:10" x14ac:dyDescent="0.2">
      <c r="F169" s="47" t="s">
        <v>31</v>
      </c>
      <c r="G169" s="47" t="s">
        <v>165</v>
      </c>
      <c r="H169" s="39">
        <v>0</v>
      </c>
      <c r="I169" s="39">
        <f t="shared" si="25"/>
        <v>0</v>
      </c>
      <c r="J169" s="39">
        <f t="shared" si="26"/>
        <v>0</v>
      </c>
    </row>
    <row r="170" spans="6:10" x14ac:dyDescent="0.2">
      <c r="F170" s="47" t="s">
        <v>25</v>
      </c>
      <c r="G170" s="47" t="s">
        <v>167</v>
      </c>
      <c r="H170" s="39">
        <v>18.09</v>
      </c>
      <c r="I170" s="39">
        <f t="shared" si="25"/>
        <v>9.0450000000000003E-2</v>
      </c>
      <c r="J170" s="39">
        <f t="shared" si="26"/>
        <v>1.8089999999999999</v>
      </c>
    </row>
    <row r="171" spans="6:10" x14ac:dyDescent="0.2">
      <c r="F171" s="47" t="s">
        <v>32</v>
      </c>
      <c r="G171" s="47" t="s">
        <v>168</v>
      </c>
      <c r="H171" s="39">
        <v>54.2</v>
      </c>
      <c r="I171" s="39">
        <f t="shared" si="25"/>
        <v>0.27100000000000002</v>
      </c>
      <c r="J171" s="39">
        <f t="shared" si="26"/>
        <v>5.42</v>
      </c>
    </row>
    <row r="172" spans="6:10" x14ac:dyDescent="0.2">
      <c r="F172" s="47" t="s">
        <v>37</v>
      </c>
      <c r="G172" s="47" t="s">
        <v>170</v>
      </c>
      <c r="H172" s="39">
        <v>0.93</v>
      </c>
      <c r="I172" s="39">
        <f t="shared" si="25"/>
        <v>4.6500000000000005E-3</v>
      </c>
      <c r="J172" s="39">
        <f t="shared" si="26"/>
        <v>9.2999999999999999E-2</v>
      </c>
    </row>
    <row r="173" spans="6:10" x14ac:dyDescent="0.2">
      <c r="F173" s="47" t="s">
        <v>171</v>
      </c>
      <c r="G173" s="47" t="s">
        <v>172</v>
      </c>
      <c r="H173" s="39">
        <v>0</v>
      </c>
      <c r="I173" s="39">
        <f t="shared" si="25"/>
        <v>0</v>
      </c>
      <c r="J173" s="39">
        <f t="shared" si="26"/>
        <v>0</v>
      </c>
    </row>
    <row r="174" spans="6:10" x14ac:dyDescent="0.2">
      <c r="F174" s="47" t="s">
        <v>42</v>
      </c>
      <c r="G174" s="47" t="s">
        <v>174</v>
      </c>
      <c r="H174" s="39">
        <v>0</v>
      </c>
      <c r="I174" s="39">
        <f t="shared" si="25"/>
        <v>0</v>
      </c>
      <c r="J174" s="39">
        <f t="shared" si="26"/>
        <v>0</v>
      </c>
    </row>
    <row r="175" spans="6:10" x14ac:dyDescent="0.2">
      <c r="F175" s="47" t="s">
        <v>38</v>
      </c>
      <c r="G175" s="37" t="s">
        <v>175</v>
      </c>
      <c r="H175" s="39">
        <v>0</v>
      </c>
      <c r="I175" s="39">
        <f t="shared" si="25"/>
        <v>0</v>
      </c>
      <c r="J175" s="39">
        <f t="shared" si="26"/>
        <v>0</v>
      </c>
    </row>
    <row r="176" spans="6:10" x14ac:dyDescent="0.2">
      <c r="F176" s="47" t="s">
        <v>26</v>
      </c>
      <c r="G176" s="47" t="s">
        <v>177</v>
      </c>
      <c r="H176" s="39">
        <v>0</v>
      </c>
      <c r="I176" s="39">
        <f t="shared" si="25"/>
        <v>0</v>
      </c>
      <c r="J176" s="39">
        <f t="shared" si="26"/>
        <v>0</v>
      </c>
    </row>
    <row r="177" spans="6:10" x14ac:dyDescent="0.2">
      <c r="F177" s="47" t="s">
        <v>33</v>
      </c>
      <c r="G177" s="47" t="s">
        <v>178</v>
      </c>
      <c r="H177" s="39">
        <v>5.51</v>
      </c>
      <c r="I177" s="39">
        <f t="shared" si="25"/>
        <v>2.7549999999999998E-2</v>
      </c>
      <c r="J177" s="39">
        <f t="shared" si="26"/>
        <v>0.55099999999999993</v>
      </c>
    </row>
    <row r="178" spans="6:10" x14ac:dyDescent="0.2">
      <c r="F178" s="47" t="s">
        <v>39</v>
      </c>
      <c r="G178" s="47" t="s">
        <v>180</v>
      </c>
      <c r="H178" s="39">
        <v>0</v>
      </c>
      <c r="I178" s="39">
        <f t="shared" si="25"/>
        <v>0</v>
      </c>
      <c r="J178" s="39">
        <f t="shared" si="26"/>
        <v>0</v>
      </c>
    </row>
    <row r="179" spans="6:10" x14ac:dyDescent="0.2">
      <c r="F179" s="47" t="s">
        <v>40</v>
      </c>
      <c r="G179" s="47" t="s">
        <v>182</v>
      </c>
      <c r="H179" s="39">
        <v>0</v>
      </c>
      <c r="I179" s="39">
        <f t="shared" si="25"/>
        <v>0</v>
      </c>
      <c r="J179" s="39">
        <f t="shared" si="26"/>
        <v>0</v>
      </c>
    </row>
    <row r="180" spans="6:10" x14ac:dyDescent="0.2">
      <c r="F180" s="47" t="s">
        <v>43</v>
      </c>
      <c r="G180" s="47" t="s">
        <v>184</v>
      </c>
      <c r="H180" s="39">
        <v>1.81</v>
      </c>
      <c r="I180" s="39">
        <f t="shared" si="25"/>
        <v>9.0500000000000008E-3</v>
      </c>
      <c r="J180" s="39">
        <f t="shared" si="26"/>
        <v>0.18099999999999999</v>
      </c>
    </row>
    <row r="181" spans="6:10" x14ac:dyDescent="0.2">
      <c r="F181" s="68" t="s">
        <v>186</v>
      </c>
      <c r="G181" s="68" t="s">
        <v>187</v>
      </c>
      <c r="H181" s="66">
        <v>0</v>
      </c>
      <c r="I181" s="39">
        <f t="shared" si="25"/>
        <v>0</v>
      </c>
      <c r="J181" s="39">
        <f t="shared" si="26"/>
        <v>0</v>
      </c>
    </row>
    <row r="182" spans="6:10" x14ac:dyDescent="0.2">
      <c r="F182" s="47" t="s">
        <v>44</v>
      </c>
      <c r="G182" s="47" t="s">
        <v>188</v>
      </c>
      <c r="H182" s="39">
        <v>2.9</v>
      </c>
      <c r="I182" s="39">
        <f t="shared" si="25"/>
        <v>1.4500000000000001E-2</v>
      </c>
      <c r="J182" s="39">
        <f t="shared" si="26"/>
        <v>0.28999999999999998</v>
      </c>
    </row>
    <row r="183" spans="6:10" x14ac:dyDescent="0.2">
      <c r="F183" s="68" t="s">
        <v>164</v>
      </c>
      <c r="G183" s="68" t="s">
        <v>189</v>
      </c>
      <c r="H183" s="66">
        <v>0</v>
      </c>
      <c r="I183" s="39">
        <f t="shared" si="25"/>
        <v>0</v>
      </c>
      <c r="J183" s="39">
        <f t="shared" si="26"/>
        <v>0</v>
      </c>
    </row>
    <row r="184" spans="6:10" x14ac:dyDescent="0.2">
      <c r="F184" s="47" t="s">
        <v>166</v>
      </c>
      <c r="G184" s="47" t="s">
        <v>190</v>
      </c>
      <c r="H184" s="39">
        <v>0</v>
      </c>
      <c r="I184" s="39">
        <f t="shared" si="25"/>
        <v>0</v>
      </c>
      <c r="J184" s="39">
        <f t="shared" si="26"/>
        <v>0</v>
      </c>
    </row>
    <row r="185" spans="6:10" x14ac:dyDescent="0.2">
      <c r="F185" s="47" t="s">
        <v>34</v>
      </c>
      <c r="G185" s="47" t="s">
        <v>191</v>
      </c>
      <c r="H185" s="39">
        <v>0</v>
      </c>
      <c r="I185" s="39">
        <f t="shared" si="25"/>
        <v>0</v>
      </c>
      <c r="J185" s="39">
        <f t="shared" si="26"/>
        <v>0</v>
      </c>
    </row>
    <row r="186" spans="6:10" x14ac:dyDescent="0.2">
      <c r="F186" s="47" t="s">
        <v>27</v>
      </c>
      <c r="G186" s="47" t="s">
        <v>192</v>
      </c>
      <c r="H186" s="39">
        <v>0</v>
      </c>
      <c r="I186" s="39">
        <f t="shared" si="25"/>
        <v>0</v>
      </c>
      <c r="J186" s="39">
        <f t="shared" si="26"/>
        <v>0</v>
      </c>
    </row>
    <row r="187" spans="6:10" x14ac:dyDescent="0.2">
      <c r="F187" s="47" t="s">
        <v>45</v>
      </c>
      <c r="G187" s="47" t="s">
        <v>193</v>
      </c>
      <c r="H187" s="39">
        <v>12.5</v>
      </c>
      <c r="I187" s="39">
        <f t="shared" si="25"/>
        <v>6.25E-2</v>
      </c>
      <c r="J187" s="39">
        <f t="shared" si="26"/>
        <v>1.25</v>
      </c>
    </row>
    <row r="188" spans="6:10" x14ac:dyDescent="0.2">
      <c r="F188" s="47" t="s">
        <v>169</v>
      </c>
      <c r="G188" s="47" t="s">
        <v>194</v>
      </c>
      <c r="H188" s="39">
        <v>0</v>
      </c>
      <c r="I188" s="39">
        <f t="shared" si="25"/>
        <v>0</v>
      </c>
      <c r="J188" s="39">
        <f t="shared" si="26"/>
        <v>0</v>
      </c>
    </row>
    <row r="189" spans="6:10" x14ac:dyDescent="0.2">
      <c r="F189" s="47" t="s">
        <v>35</v>
      </c>
      <c r="G189" s="47" t="s">
        <v>196</v>
      </c>
      <c r="H189" s="79">
        <v>1.87</v>
      </c>
      <c r="I189" s="39">
        <f t="shared" si="25"/>
        <v>9.3500000000000007E-3</v>
      </c>
      <c r="J189" s="39">
        <f t="shared" si="26"/>
        <v>0.187</v>
      </c>
    </row>
    <row r="190" spans="6:10" x14ac:dyDescent="0.2">
      <c r="H190" s="39" t="s">
        <v>221</v>
      </c>
      <c r="I190" s="39">
        <f>SUM(I160:I188)</f>
        <v>0.74319999999999997</v>
      </c>
    </row>
    <row r="192" spans="6:10" ht="16" x14ac:dyDescent="0.2">
      <c r="H192" s="36">
        <v>47</v>
      </c>
    </row>
    <row r="193" spans="6:10" x14ac:dyDescent="0.2">
      <c r="F193" s="47" t="s">
        <v>216</v>
      </c>
      <c r="G193" s="47" t="s">
        <v>217</v>
      </c>
      <c r="H193" s="39" t="s">
        <v>218</v>
      </c>
      <c r="I193" s="39" t="s">
        <v>219</v>
      </c>
      <c r="J193" s="39" t="s">
        <v>220</v>
      </c>
    </row>
    <row r="194" spans="6:10" x14ac:dyDescent="0.2">
      <c r="F194" s="48" t="s">
        <v>147</v>
      </c>
      <c r="G194" s="47" t="s">
        <v>148</v>
      </c>
      <c r="H194" s="39">
        <v>0</v>
      </c>
      <c r="I194" s="39">
        <f t="shared" ref="I194:I227" si="27">(H194*5)/1000</f>
        <v>0</v>
      </c>
      <c r="J194" s="39">
        <f t="shared" ref="J194:J227" si="28">I194/$C$8</f>
        <v>0</v>
      </c>
    </row>
    <row r="195" spans="6:10" x14ac:dyDescent="0.2">
      <c r="F195" s="48" t="s">
        <v>18</v>
      </c>
      <c r="G195" s="63" t="s">
        <v>149</v>
      </c>
      <c r="H195" s="39">
        <v>0</v>
      </c>
      <c r="I195" s="39">
        <f t="shared" si="27"/>
        <v>0</v>
      </c>
      <c r="J195" s="39">
        <f t="shared" si="28"/>
        <v>0</v>
      </c>
    </row>
    <row r="196" spans="6:10" x14ac:dyDescent="0.2">
      <c r="F196" s="48" t="s">
        <v>150</v>
      </c>
      <c r="G196" s="63" t="s">
        <v>151</v>
      </c>
      <c r="H196" s="39">
        <v>0</v>
      </c>
      <c r="I196" s="39">
        <f t="shared" si="27"/>
        <v>0</v>
      </c>
      <c r="J196" s="39">
        <f t="shared" si="28"/>
        <v>0</v>
      </c>
    </row>
    <row r="197" spans="6:10" x14ac:dyDescent="0.2">
      <c r="F197" s="48" t="s">
        <v>152</v>
      </c>
      <c r="G197" s="63" t="s">
        <v>153</v>
      </c>
      <c r="H197" s="39">
        <v>0</v>
      </c>
      <c r="I197" s="39">
        <f t="shared" si="27"/>
        <v>0</v>
      </c>
      <c r="J197" s="39">
        <f t="shared" si="28"/>
        <v>0</v>
      </c>
    </row>
    <row r="198" spans="6:10" x14ac:dyDescent="0.2">
      <c r="F198" s="48" t="s">
        <v>19</v>
      </c>
      <c r="G198" s="63" t="s">
        <v>154</v>
      </c>
      <c r="H198" s="39">
        <v>0</v>
      </c>
      <c r="I198" s="39">
        <f t="shared" si="27"/>
        <v>0</v>
      </c>
      <c r="J198" s="39">
        <f t="shared" si="28"/>
        <v>0</v>
      </c>
    </row>
    <row r="199" spans="6:10" x14ac:dyDescent="0.2">
      <c r="F199" s="88" t="s">
        <v>20</v>
      </c>
      <c r="G199" s="65" t="s">
        <v>155</v>
      </c>
      <c r="H199" s="39">
        <v>0</v>
      </c>
      <c r="I199" s="79">
        <f t="shared" si="27"/>
        <v>0</v>
      </c>
      <c r="J199" s="39">
        <f t="shared" si="28"/>
        <v>0</v>
      </c>
    </row>
    <row r="200" spans="6:10" x14ac:dyDescent="0.2">
      <c r="F200" s="48" t="s">
        <v>21</v>
      </c>
      <c r="G200" s="63" t="s">
        <v>156</v>
      </c>
      <c r="H200" s="39">
        <v>0</v>
      </c>
      <c r="I200" s="39">
        <f t="shared" si="27"/>
        <v>0</v>
      </c>
      <c r="J200" s="39">
        <f t="shared" si="28"/>
        <v>0</v>
      </c>
    </row>
    <row r="201" spans="6:10" x14ac:dyDescent="0.2">
      <c r="F201" s="48" t="s">
        <v>29</v>
      </c>
      <c r="G201" s="63" t="s">
        <v>157</v>
      </c>
      <c r="H201" s="39">
        <v>0</v>
      </c>
      <c r="I201" s="39">
        <f t="shared" si="27"/>
        <v>0</v>
      </c>
      <c r="J201" s="39">
        <f t="shared" si="28"/>
        <v>0</v>
      </c>
    </row>
    <row r="202" spans="6:10" x14ac:dyDescent="0.2">
      <c r="F202" s="48" t="s">
        <v>22</v>
      </c>
      <c r="G202" s="63" t="s">
        <v>158</v>
      </c>
      <c r="H202" s="39">
        <v>0</v>
      </c>
      <c r="I202" s="39">
        <f t="shared" si="27"/>
        <v>0</v>
      </c>
      <c r="J202" s="39">
        <f t="shared" si="28"/>
        <v>0</v>
      </c>
    </row>
    <row r="203" spans="6:10" x14ac:dyDescent="0.2">
      <c r="F203" s="48" t="s">
        <v>159</v>
      </c>
      <c r="G203" s="47" t="s">
        <v>160</v>
      </c>
      <c r="H203" s="39">
        <v>0</v>
      </c>
      <c r="I203" s="39">
        <f t="shared" si="27"/>
        <v>0</v>
      </c>
      <c r="J203" s="39">
        <f t="shared" si="28"/>
        <v>0</v>
      </c>
    </row>
    <row r="204" spans="6:10" x14ac:dyDescent="0.2">
      <c r="F204" s="48" t="s">
        <v>23</v>
      </c>
      <c r="G204" s="47" t="s">
        <v>161</v>
      </c>
      <c r="H204" s="39">
        <v>4.07</v>
      </c>
      <c r="I204" s="39">
        <f t="shared" si="27"/>
        <v>2.035E-2</v>
      </c>
      <c r="J204" s="39">
        <f t="shared" si="28"/>
        <v>0.40699999999999997</v>
      </c>
    </row>
    <row r="205" spans="6:10" x14ac:dyDescent="0.2">
      <c r="F205" s="48" t="s">
        <v>30</v>
      </c>
      <c r="G205" s="47" t="s">
        <v>162</v>
      </c>
      <c r="H205" s="39">
        <v>0</v>
      </c>
      <c r="I205" s="39">
        <f t="shared" si="27"/>
        <v>0</v>
      </c>
      <c r="J205" s="39">
        <f t="shared" si="28"/>
        <v>0</v>
      </c>
    </row>
    <row r="206" spans="6:10" x14ac:dyDescent="0.2">
      <c r="F206" s="48" t="s">
        <v>24</v>
      </c>
      <c r="G206" s="47" t="s">
        <v>163</v>
      </c>
      <c r="H206" s="39">
        <v>0</v>
      </c>
      <c r="I206" s="39">
        <f t="shared" si="27"/>
        <v>0</v>
      </c>
      <c r="J206" s="39">
        <f t="shared" si="28"/>
        <v>0</v>
      </c>
    </row>
    <row r="207" spans="6:10" x14ac:dyDescent="0.2">
      <c r="F207" s="48" t="s">
        <v>31</v>
      </c>
      <c r="G207" s="47" t="s">
        <v>165</v>
      </c>
      <c r="H207" s="39">
        <v>0</v>
      </c>
      <c r="I207" s="39">
        <f t="shared" si="27"/>
        <v>0</v>
      </c>
      <c r="J207" s="39">
        <f t="shared" si="28"/>
        <v>0</v>
      </c>
    </row>
    <row r="208" spans="6:10" x14ac:dyDescent="0.2">
      <c r="F208" s="48" t="s">
        <v>25</v>
      </c>
      <c r="G208" s="47" t="s">
        <v>167</v>
      </c>
      <c r="H208" s="39">
        <v>2.35</v>
      </c>
      <c r="I208" s="39">
        <f t="shared" si="27"/>
        <v>1.175E-2</v>
      </c>
      <c r="J208" s="39">
        <f t="shared" si="28"/>
        <v>0.23499999999999999</v>
      </c>
    </row>
    <row r="209" spans="6:10" x14ac:dyDescent="0.2">
      <c r="F209" s="48" t="s">
        <v>32</v>
      </c>
      <c r="G209" s="47" t="s">
        <v>168</v>
      </c>
      <c r="H209" s="39">
        <v>5.37</v>
      </c>
      <c r="I209" s="39">
        <f t="shared" si="27"/>
        <v>2.6850000000000002E-2</v>
      </c>
      <c r="J209" s="39">
        <f t="shared" si="28"/>
        <v>0.53700000000000003</v>
      </c>
    </row>
    <row r="210" spans="6:10" x14ac:dyDescent="0.2">
      <c r="F210" s="48" t="s">
        <v>37</v>
      </c>
      <c r="G210" s="47" t="s">
        <v>170</v>
      </c>
      <c r="H210" s="39">
        <v>0</v>
      </c>
      <c r="I210" s="39">
        <f t="shared" si="27"/>
        <v>0</v>
      </c>
      <c r="J210" s="39">
        <f t="shared" si="28"/>
        <v>0</v>
      </c>
    </row>
    <row r="211" spans="6:10" x14ac:dyDescent="0.2">
      <c r="F211" s="48" t="s">
        <v>171</v>
      </c>
      <c r="G211" s="47" t="s">
        <v>172</v>
      </c>
      <c r="H211" s="39">
        <v>0</v>
      </c>
      <c r="I211" s="39">
        <f t="shared" si="27"/>
        <v>0</v>
      </c>
      <c r="J211" s="39">
        <f t="shared" si="28"/>
        <v>0</v>
      </c>
    </row>
    <row r="212" spans="6:10" x14ac:dyDescent="0.2">
      <c r="F212" s="48" t="s">
        <v>42</v>
      </c>
      <c r="G212" s="47" t="s">
        <v>174</v>
      </c>
      <c r="H212" s="39">
        <v>0</v>
      </c>
      <c r="I212" s="39">
        <f t="shared" si="27"/>
        <v>0</v>
      </c>
      <c r="J212" s="39">
        <f t="shared" si="28"/>
        <v>0</v>
      </c>
    </row>
    <row r="213" spans="6:10" x14ac:dyDescent="0.2">
      <c r="F213" s="88" t="s">
        <v>38</v>
      </c>
      <c r="G213" s="37" t="s">
        <v>175</v>
      </c>
      <c r="H213" s="39">
        <v>0</v>
      </c>
      <c r="I213" s="39">
        <f t="shared" si="27"/>
        <v>0</v>
      </c>
      <c r="J213" s="39">
        <f t="shared" si="28"/>
        <v>0</v>
      </c>
    </row>
    <row r="214" spans="6:10" x14ac:dyDescent="0.2">
      <c r="F214" s="48" t="s">
        <v>26</v>
      </c>
      <c r="G214" s="47" t="s">
        <v>177</v>
      </c>
      <c r="H214" s="39">
        <v>0</v>
      </c>
      <c r="I214" s="39">
        <f t="shared" si="27"/>
        <v>0</v>
      </c>
      <c r="J214" s="39">
        <f t="shared" si="28"/>
        <v>0</v>
      </c>
    </row>
    <row r="215" spans="6:10" x14ac:dyDescent="0.2">
      <c r="F215" s="48" t="s">
        <v>33</v>
      </c>
      <c r="G215" s="47" t="s">
        <v>178</v>
      </c>
      <c r="H215" s="39">
        <v>0</v>
      </c>
      <c r="I215" s="39">
        <f t="shared" si="27"/>
        <v>0</v>
      </c>
      <c r="J215" s="39">
        <f t="shared" si="28"/>
        <v>0</v>
      </c>
    </row>
    <row r="216" spans="6:10" x14ac:dyDescent="0.2">
      <c r="F216" s="47" t="s">
        <v>39</v>
      </c>
      <c r="G216" s="47" t="s">
        <v>180</v>
      </c>
      <c r="H216" s="39">
        <v>0</v>
      </c>
      <c r="I216" s="39">
        <f t="shared" si="27"/>
        <v>0</v>
      </c>
      <c r="J216" s="39">
        <f t="shared" si="28"/>
        <v>0</v>
      </c>
    </row>
    <row r="217" spans="6:10" x14ac:dyDescent="0.2">
      <c r="F217" s="47" t="s">
        <v>40</v>
      </c>
      <c r="G217" s="47" t="s">
        <v>182</v>
      </c>
      <c r="H217" s="39">
        <v>0</v>
      </c>
      <c r="I217" s="39">
        <f t="shared" si="27"/>
        <v>0</v>
      </c>
      <c r="J217" s="39">
        <f t="shared" si="28"/>
        <v>0</v>
      </c>
    </row>
    <row r="218" spans="6:10" x14ac:dyDescent="0.2">
      <c r="F218" s="47" t="s">
        <v>43</v>
      </c>
      <c r="G218" s="47" t="s">
        <v>184</v>
      </c>
      <c r="H218" s="39">
        <v>0</v>
      </c>
      <c r="I218" s="39">
        <f t="shared" si="27"/>
        <v>0</v>
      </c>
      <c r="J218" s="39">
        <f t="shared" si="28"/>
        <v>0</v>
      </c>
    </row>
    <row r="219" spans="6:10" x14ac:dyDescent="0.2">
      <c r="F219" s="68" t="s">
        <v>186</v>
      </c>
      <c r="G219" s="68" t="s">
        <v>187</v>
      </c>
      <c r="H219" s="66">
        <v>0</v>
      </c>
      <c r="I219" s="39">
        <f t="shared" si="27"/>
        <v>0</v>
      </c>
      <c r="J219" s="39">
        <f t="shared" si="28"/>
        <v>0</v>
      </c>
    </row>
    <row r="220" spans="6:10" x14ac:dyDescent="0.2">
      <c r="F220" s="47" t="s">
        <v>44</v>
      </c>
      <c r="G220" s="47" t="s">
        <v>188</v>
      </c>
      <c r="H220" s="39">
        <v>0</v>
      </c>
      <c r="I220" s="39">
        <f t="shared" si="27"/>
        <v>0</v>
      </c>
      <c r="J220" s="39">
        <f t="shared" si="28"/>
        <v>0</v>
      </c>
    </row>
    <row r="221" spans="6:10" x14ac:dyDescent="0.2">
      <c r="F221" s="68" t="s">
        <v>164</v>
      </c>
      <c r="G221" s="68" t="s">
        <v>189</v>
      </c>
      <c r="H221" s="66">
        <v>0</v>
      </c>
      <c r="I221" s="39">
        <f t="shared" si="27"/>
        <v>0</v>
      </c>
      <c r="J221" s="39">
        <f t="shared" si="28"/>
        <v>0</v>
      </c>
    </row>
    <row r="222" spans="6:10" x14ac:dyDescent="0.2">
      <c r="F222" s="47" t="s">
        <v>166</v>
      </c>
      <c r="G222" s="47" t="s">
        <v>190</v>
      </c>
      <c r="H222" s="39">
        <v>0</v>
      </c>
      <c r="I222" s="39">
        <f t="shared" si="27"/>
        <v>0</v>
      </c>
      <c r="J222" s="39">
        <f t="shared" si="28"/>
        <v>0</v>
      </c>
    </row>
    <row r="223" spans="6:10" x14ac:dyDescent="0.2">
      <c r="F223" s="48" t="s">
        <v>34</v>
      </c>
      <c r="G223" s="47" t="s">
        <v>191</v>
      </c>
      <c r="H223" s="39">
        <v>0</v>
      </c>
      <c r="I223" s="39">
        <f t="shared" si="27"/>
        <v>0</v>
      </c>
      <c r="J223" s="39">
        <f t="shared" si="28"/>
        <v>0</v>
      </c>
    </row>
    <row r="224" spans="6:10" x14ac:dyDescent="0.2">
      <c r="F224" s="48" t="s">
        <v>27</v>
      </c>
      <c r="G224" s="47" t="s">
        <v>192</v>
      </c>
      <c r="H224" s="39">
        <v>0</v>
      </c>
      <c r="I224" s="39">
        <f t="shared" si="27"/>
        <v>0</v>
      </c>
      <c r="J224" s="39">
        <f t="shared" si="28"/>
        <v>0</v>
      </c>
    </row>
    <row r="225" spans="6:10" x14ac:dyDescent="0.2">
      <c r="F225" s="48" t="s">
        <v>45</v>
      </c>
      <c r="G225" s="47" t="s">
        <v>193</v>
      </c>
      <c r="H225" s="39">
        <v>6.89</v>
      </c>
      <c r="I225" s="39">
        <f t="shared" si="27"/>
        <v>3.4449999999999995E-2</v>
      </c>
      <c r="J225" s="39">
        <f t="shared" si="28"/>
        <v>0.68899999999999983</v>
      </c>
    </row>
    <row r="226" spans="6:10" x14ac:dyDescent="0.2">
      <c r="F226" s="48" t="s">
        <v>169</v>
      </c>
      <c r="G226" s="47" t="s">
        <v>194</v>
      </c>
      <c r="H226" s="39">
        <v>0</v>
      </c>
      <c r="I226" s="39">
        <f t="shared" si="27"/>
        <v>0</v>
      </c>
      <c r="J226" s="39">
        <f t="shared" si="28"/>
        <v>0</v>
      </c>
    </row>
    <row r="227" spans="6:10" x14ac:dyDescent="0.2">
      <c r="F227" s="48" t="s">
        <v>35</v>
      </c>
      <c r="G227" s="47" t="s">
        <v>196</v>
      </c>
      <c r="H227" s="39">
        <v>0</v>
      </c>
      <c r="I227" s="39">
        <f t="shared" si="27"/>
        <v>0</v>
      </c>
      <c r="J227" s="39">
        <f t="shared" si="28"/>
        <v>0</v>
      </c>
    </row>
    <row r="228" spans="6:10" x14ac:dyDescent="0.2">
      <c r="H228" s="39" t="s">
        <v>221</v>
      </c>
      <c r="I228" s="39">
        <f>SUM(I194:I227)</f>
        <v>9.3399999999999997E-2</v>
      </c>
    </row>
    <row r="230" spans="6:10" ht="16" x14ac:dyDescent="0.2">
      <c r="F230" s="89"/>
      <c r="G230" s="89"/>
      <c r="H230" s="41">
        <v>586</v>
      </c>
      <c r="I230" s="89"/>
      <c r="J230" s="89"/>
    </row>
    <row r="231" spans="6:10" x14ac:dyDescent="0.2">
      <c r="F231" s="47" t="s">
        <v>216</v>
      </c>
      <c r="G231" s="47" t="s">
        <v>217</v>
      </c>
      <c r="H231" s="39" t="s">
        <v>218</v>
      </c>
      <c r="I231" s="39" t="s">
        <v>219</v>
      </c>
      <c r="J231" s="39" t="s">
        <v>220</v>
      </c>
    </row>
    <row r="232" spans="6:10" x14ac:dyDescent="0.2">
      <c r="F232" s="47" t="s">
        <v>147</v>
      </c>
      <c r="G232" s="47" t="s">
        <v>148</v>
      </c>
      <c r="H232" s="39">
        <v>0</v>
      </c>
      <c r="I232" s="39">
        <f t="shared" ref="I232:I265" si="29">(H232*5)/1000</f>
        <v>0</v>
      </c>
      <c r="J232" s="39">
        <f t="shared" ref="J232:J265" si="30">I232/$C$9</f>
        <v>0</v>
      </c>
    </row>
    <row r="233" spans="6:10" x14ac:dyDescent="0.2">
      <c r="F233" s="47" t="s">
        <v>18</v>
      </c>
      <c r="G233" s="63" t="s">
        <v>149</v>
      </c>
      <c r="H233" s="39">
        <v>0</v>
      </c>
      <c r="I233" s="39">
        <f t="shared" si="29"/>
        <v>0</v>
      </c>
      <c r="J233" s="39">
        <f t="shared" si="30"/>
        <v>0</v>
      </c>
    </row>
    <row r="234" spans="6:10" x14ac:dyDescent="0.2">
      <c r="F234" s="47" t="s">
        <v>150</v>
      </c>
      <c r="G234" s="63" t="s">
        <v>151</v>
      </c>
      <c r="H234" s="39">
        <v>0</v>
      </c>
      <c r="I234" s="39">
        <f t="shared" si="29"/>
        <v>0</v>
      </c>
      <c r="J234" s="39">
        <f t="shared" si="30"/>
        <v>0</v>
      </c>
    </row>
    <row r="235" spans="6:10" x14ac:dyDescent="0.2">
      <c r="F235" s="47" t="s">
        <v>152</v>
      </c>
      <c r="G235" s="63" t="s">
        <v>153</v>
      </c>
      <c r="H235" s="39">
        <v>0</v>
      </c>
      <c r="I235" s="39">
        <f t="shared" si="29"/>
        <v>0</v>
      </c>
      <c r="J235" s="39">
        <f t="shared" si="30"/>
        <v>0</v>
      </c>
    </row>
    <row r="236" spans="6:10" x14ac:dyDescent="0.2">
      <c r="F236" s="47" t="s">
        <v>19</v>
      </c>
      <c r="G236" s="63" t="s">
        <v>154</v>
      </c>
      <c r="H236" s="39">
        <v>0</v>
      </c>
      <c r="I236" s="39">
        <f t="shared" si="29"/>
        <v>0</v>
      </c>
      <c r="J236" s="39">
        <f t="shared" si="30"/>
        <v>0</v>
      </c>
    </row>
    <row r="237" spans="6:10" x14ac:dyDescent="0.2">
      <c r="F237" s="67" t="s">
        <v>20</v>
      </c>
      <c r="G237" s="65" t="s">
        <v>155</v>
      </c>
      <c r="H237" s="39">
        <v>0</v>
      </c>
      <c r="I237" s="39">
        <f t="shared" si="29"/>
        <v>0</v>
      </c>
      <c r="J237" s="39">
        <f t="shared" si="30"/>
        <v>0</v>
      </c>
    </row>
    <row r="238" spans="6:10" x14ac:dyDescent="0.2">
      <c r="F238" s="47" t="s">
        <v>21</v>
      </c>
      <c r="G238" s="63" t="s">
        <v>156</v>
      </c>
      <c r="H238" s="39">
        <v>0</v>
      </c>
      <c r="I238" s="39">
        <f t="shared" si="29"/>
        <v>0</v>
      </c>
      <c r="J238" s="39">
        <f t="shared" si="30"/>
        <v>0</v>
      </c>
    </row>
    <row r="239" spans="6:10" x14ac:dyDescent="0.2">
      <c r="F239" s="47" t="s">
        <v>29</v>
      </c>
      <c r="G239" s="63" t="s">
        <v>157</v>
      </c>
      <c r="H239" s="39">
        <v>0</v>
      </c>
      <c r="I239" s="39">
        <f t="shared" si="29"/>
        <v>0</v>
      </c>
      <c r="J239" s="39">
        <f t="shared" si="30"/>
        <v>0</v>
      </c>
    </row>
    <row r="240" spans="6:10" x14ac:dyDescent="0.2">
      <c r="F240" s="47" t="s">
        <v>22</v>
      </c>
      <c r="G240" s="63" t="s">
        <v>158</v>
      </c>
      <c r="H240" s="39">
        <v>0</v>
      </c>
      <c r="I240" s="39">
        <f t="shared" si="29"/>
        <v>0</v>
      </c>
      <c r="J240" s="39">
        <f t="shared" si="30"/>
        <v>0</v>
      </c>
    </row>
    <row r="241" spans="6:10" x14ac:dyDescent="0.2">
      <c r="F241" s="47" t="s">
        <v>159</v>
      </c>
      <c r="G241" s="47" t="s">
        <v>160</v>
      </c>
      <c r="H241" s="39">
        <v>0</v>
      </c>
      <c r="I241" s="39">
        <f t="shared" si="29"/>
        <v>0</v>
      </c>
      <c r="J241" s="39">
        <f t="shared" si="30"/>
        <v>0</v>
      </c>
    </row>
    <row r="242" spans="6:10" x14ac:dyDescent="0.2">
      <c r="F242" s="47" t="s">
        <v>23</v>
      </c>
      <c r="G242" s="47" t="s">
        <v>161</v>
      </c>
      <c r="H242" s="39">
        <v>3.02</v>
      </c>
      <c r="I242" s="39">
        <f t="shared" si="29"/>
        <v>1.5099999999999999E-2</v>
      </c>
      <c r="J242" s="39">
        <f t="shared" si="30"/>
        <v>0.30199999999999994</v>
      </c>
    </row>
    <row r="243" spans="6:10" x14ac:dyDescent="0.2">
      <c r="F243" s="47" t="s">
        <v>30</v>
      </c>
      <c r="G243" s="47" t="s">
        <v>162</v>
      </c>
      <c r="H243" s="39">
        <v>1.47</v>
      </c>
      <c r="I243" s="39">
        <f t="shared" si="29"/>
        <v>7.3499999999999998E-3</v>
      </c>
      <c r="J243" s="39">
        <f t="shared" si="30"/>
        <v>0.14699999999999999</v>
      </c>
    </row>
    <row r="244" spans="6:10" x14ac:dyDescent="0.2">
      <c r="F244" s="47" t="s">
        <v>24</v>
      </c>
      <c r="G244" s="47" t="s">
        <v>163</v>
      </c>
      <c r="H244" s="39">
        <v>0</v>
      </c>
      <c r="I244" s="39">
        <f t="shared" si="29"/>
        <v>0</v>
      </c>
      <c r="J244" s="39">
        <f t="shared" si="30"/>
        <v>0</v>
      </c>
    </row>
    <row r="245" spans="6:10" x14ac:dyDescent="0.2">
      <c r="F245" s="47" t="s">
        <v>31</v>
      </c>
      <c r="G245" s="47" t="s">
        <v>165</v>
      </c>
      <c r="H245" s="39">
        <v>0</v>
      </c>
      <c r="I245" s="39">
        <f t="shared" si="29"/>
        <v>0</v>
      </c>
      <c r="J245" s="39">
        <f t="shared" si="30"/>
        <v>0</v>
      </c>
    </row>
    <row r="246" spans="6:10" x14ac:dyDescent="0.2">
      <c r="F246" s="47" t="s">
        <v>25</v>
      </c>
      <c r="G246" s="47" t="s">
        <v>167</v>
      </c>
      <c r="H246" s="39">
        <v>1.88</v>
      </c>
      <c r="I246" s="39">
        <f t="shared" si="29"/>
        <v>9.3999999999999986E-3</v>
      </c>
      <c r="J246" s="39">
        <f t="shared" si="30"/>
        <v>0.18799999999999997</v>
      </c>
    </row>
    <row r="247" spans="6:10" x14ac:dyDescent="0.2">
      <c r="F247" s="47" t="s">
        <v>32</v>
      </c>
      <c r="G247" s="47" t="s">
        <v>168</v>
      </c>
      <c r="H247" s="39">
        <v>1.32</v>
      </c>
      <c r="I247" s="39">
        <f t="shared" si="29"/>
        <v>6.6000000000000008E-3</v>
      </c>
      <c r="J247" s="39">
        <f t="shared" si="30"/>
        <v>0.13200000000000001</v>
      </c>
    </row>
    <row r="248" spans="6:10" x14ac:dyDescent="0.2">
      <c r="F248" s="47" t="s">
        <v>37</v>
      </c>
      <c r="G248" s="47" t="s">
        <v>170</v>
      </c>
      <c r="H248" s="39">
        <v>0</v>
      </c>
      <c r="I248" s="39">
        <f t="shared" si="29"/>
        <v>0</v>
      </c>
      <c r="J248" s="39">
        <f t="shared" si="30"/>
        <v>0</v>
      </c>
    </row>
    <row r="249" spans="6:10" x14ac:dyDescent="0.2">
      <c r="F249" s="47" t="s">
        <v>171</v>
      </c>
      <c r="G249" s="47" t="s">
        <v>172</v>
      </c>
      <c r="H249" s="39">
        <v>0</v>
      </c>
      <c r="I249" s="39">
        <f t="shared" si="29"/>
        <v>0</v>
      </c>
      <c r="J249" s="39">
        <f t="shared" si="30"/>
        <v>0</v>
      </c>
    </row>
    <row r="250" spans="6:10" x14ac:dyDescent="0.2">
      <c r="F250" s="47" t="s">
        <v>42</v>
      </c>
      <c r="G250" s="47" t="s">
        <v>174</v>
      </c>
      <c r="H250" s="39">
        <v>0</v>
      </c>
      <c r="I250" s="39">
        <f t="shared" si="29"/>
        <v>0</v>
      </c>
      <c r="J250" s="39">
        <f t="shared" si="30"/>
        <v>0</v>
      </c>
    </row>
    <row r="251" spans="6:10" x14ac:dyDescent="0.2">
      <c r="F251" s="67" t="s">
        <v>38</v>
      </c>
      <c r="G251" s="37" t="s">
        <v>175</v>
      </c>
      <c r="H251" s="39">
        <v>0</v>
      </c>
      <c r="I251" s="39">
        <f t="shared" si="29"/>
        <v>0</v>
      </c>
      <c r="J251" s="39">
        <f t="shared" si="30"/>
        <v>0</v>
      </c>
    </row>
    <row r="252" spans="6:10" x14ac:dyDescent="0.2">
      <c r="F252" s="47" t="s">
        <v>26</v>
      </c>
      <c r="G252" s="47" t="s">
        <v>177</v>
      </c>
      <c r="H252" s="39">
        <v>0</v>
      </c>
      <c r="I252" s="39">
        <f t="shared" si="29"/>
        <v>0</v>
      </c>
      <c r="J252" s="39">
        <f t="shared" si="30"/>
        <v>0</v>
      </c>
    </row>
    <row r="253" spans="6:10" x14ac:dyDescent="0.2">
      <c r="F253" s="47" t="s">
        <v>33</v>
      </c>
      <c r="G253" s="47" t="s">
        <v>178</v>
      </c>
      <c r="H253" s="39">
        <v>0</v>
      </c>
      <c r="I253" s="39">
        <f t="shared" si="29"/>
        <v>0</v>
      </c>
      <c r="J253" s="39">
        <f t="shared" si="30"/>
        <v>0</v>
      </c>
    </row>
    <row r="254" spans="6:10" x14ac:dyDescent="0.2">
      <c r="F254" s="47" t="s">
        <v>39</v>
      </c>
      <c r="G254" s="47" t="s">
        <v>180</v>
      </c>
      <c r="H254" s="39">
        <v>0</v>
      </c>
      <c r="I254" s="39">
        <f t="shared" si="29"/>
        <v>0</v>
      </c>
      <c r="J254" s="39">
        <f t="shared" si="30"/>
        <v>0</v>
      </c>
    </row>
    <row r="255" spans="6:10" x14ac:dyDescent="0.2">
      <c r="F255" s="47" t="s">
        <v>40</v>
      </c>
      <c r="G255" s="47" t="s">
        <v>182</v>
      </c>
      <c r="H255" s="39">
        <v>0</v>
      </c>
      <c r="I255" s="39">
        <f t="shared" si="29"/>
        <v>0</v>
      </c>
      <c r="J255" s="39">
        <f t="shared" si="30"/>
        <v>0</v>
      </c>
    </row>
    <row r="256" spans="6:10" x14ac:dyDescent="0.2">
      <c r="F256" s="67" t="s">
        <v>43</v>
      </c>
      <c r="G256" s="47" t="s">
        <v>184</v>
      </c>
      <c r="H256" s="39">
        <v>0</v>
      </c>
      <c r="I256" s="39">
        <f t="shared" si="29"/>
        <v>0</v>
      </c>
      <c r="J256" s="39">
        <f t="shared" si="30"/>
        <v>0</v>
      </c>
    </row>
    <row r="257" spans="6:10" x14ac:dyDescent="0.2">
      <c r="F257" s="68" t="s">
        <v>186</v>
      </c>
      <c r="G257" s="68" t="s">
        <v>187</v>
      </c>
      <c r="H257" s="83">
        <v>0</v>
      </c>
      <c r="I257" s="39">
        <f t="shared" si="29"/>
        <v>0</v>
      </c>
      <c r="J257" s="39">
        <f t="shared" si="30"/>
        <v>0</v>
      </c>
    </row>
    <row r="258" spans="6:10" x14ac:dyDescent="0.2">
      <c r="F258" s="47" t="s">
        <v>44</v>
      </c>
      <c r="G258" s="47" t="s">
        <v>188</v>
      </c>
      <c r="H258" s="39">
        <v>0</v>
      </c>
      <c r="I258" s="39">
        <f t="shared" si="29"/>
        <v>0</v>
      </c>
      <c r="J258" s="39">
        <f t="shared" si="30"/>
        <v>0</v>
      </c>
    </row>
    <row r="259" spans="6:10" x14ac:dyDescent="0.2">
      <c r="F259" s="68" t="s">
        <v>164</v>
      </c>
      <c r="G259" s="68" t="s">
        <v>189</v>
      </c>
      <c r="H259" s="83">
        <v>0</v>
      </c>
      <c r="I259" s="39">
        <f t="shared" si="29"/>
        <v>0</v>
      </c>
      <c r="J259" s="39">
        <f t="shared" si="30"/>
        <v>0</v>
      </c>
    </row>
    <row r="260" spans="6:10" x14ac:dyDescent="0.2">
      <c r="F260" s="47" t="s">
        <v>166</v>
      </c>
      <c r="G260" s="47" t="s">
        <v>190</v>
      </c>
      <c r="H260" s="39">
        <v>0</v>
      </c>
      <c r="I260" s="39">
        <f t="shared" si="29"/>
        <v>0</v>
      </c>
      <c r="J260" s="39">
        <f t="shared" si="30"/>
        <v>0</v>
      </c>
    </row>
    <row r="261" spans="6:10" x14ac:dyDescent="0.2">
      <c r="F261" s="47" t="s">
        <v>34</v>
      </c>
      <c r="G261" s="47" t="s">
        <v>191</v>
      </c>
      <c r="H261" s="39">
        <v>0</v>
      </c>
      <c r="I261" s="39">
        <f t="shared" si="29"/>
        <v>0</v>
      </c>
      <c r="J261" s="39">
        <f t="shared" si="30"/>
        <v>0</v>
      </c>
    </row>
    <row r="262" spans="6:10" x14ac:dyDescent="0.2">
      <c r="F262" s="47" t="s">
        <v>27</v>
      </c>
      <c r="G262" s="47" t="s">
        <v>192</v>
      </c>
      <c r="H262" s="39">
        <v>0</v>
      </c>
      <c r="I262" s="39">
        <f t="shared" si="29"/>
        <v>0</v>
      </c>
      <c r="J262" s="39">
        <f t="shared" si="30"/>
        <v>0</v>
      </c>
    </row>
    <row r="263" spans="6:10" x14ac:dyDescent="0.2">
      <c r="F263" s="47" t="s">
        <v>45</v>
      </c>
      <c r="G263" s="47" t="s">
        <v>193</v>
      </c>
      <c r="H263" s="39">
        <v>2.65</v>
      </c>
      <c r="I263" s="39">
        <f t="shared" si="29"/>
        <v>1.325E-2</v>
      </c>
      <c r="J263" s="39">
        <f t="shared" si="30"/>
        <v>0.26499999999999996</v>
      </c>
    </row>
    <row r="264" spans="6:10" x14ac:dyDescent="0.2">
      <c r="F264" s="47" t="s">
        <v>169</v>
      </c>
      <c r="G264" s="47" t="s">
        <v>194</v>
      </c>
      <c r="H264" s="39">
        <v>0</v>
      </c>
      <c r="I264" s="39">
        <f t="shared" si="29"/>
        <v>0</v>
      </c>
      <c r="J264" s="39">
        <f t="shared" si="30"/>
        <v>0</v>
      </c>
    </row>
    <row r="265" spans="6:10" x14ac:dyDescent="0.2">
      <c r="F265" s="90" t="s">
        <v>35</v>
      </c>
      <c r="G265" s="47" t="s">
        <v>196</v>
      </c>
      <c r="H265" s="39">
        <v>0</v>
      </c>
      <c r="I265" s="91">
        <f t="shared" si="29"/>
        <v>0</v>
      </c>
      <c r="J265" s="39">
        <f t="shared" si="30"/>
        <v>0</v>
      </c>
    </row>
    <row r="266" spans="6:10" x14ac:dyDescent="0.2">
      <c r="F266" s="81"/>
      <c r="G266" s="81"/>
      <c r="H266" s="39" t="s">
        <v>221</v>
      </c>
      <c r="I266" s="39">
        <f>SUM(I232:I265)</f>
        <v>5.1699999999999996E-2</v>
      </c>
      <c r="J266" s="81"/>
    </row>
    <row r="268" spans="6:10" ht="16" x14ac:dyDescent="0.2">
      <c r="H268" s="36">
        <v>63</v>
      </c>
    </row>
    <row r="269" spans="6:10" x14ac:dyDescent="0.2">
      <c r="F269" s="47" t="s">
        <v>216</v>
      </c>
      <c r="G269" s="47" t="s">
        <v>217</v>
      </c>
      <c r="H269" s="39" t="s">
        <v>218</v>
      </c>
      <c r="I269" s="39" t="s">
        <v>219</v>
      </c>
      <c r="J269" s="39" t="s">
        <v>220</v>
      </c>
    </row>
    <row r="270" spans="6:10" x14ac:dyDescent="0.2">
      <c r="F270" s="47" t="s">
        <v>147</v>
      </c>
      <c r="G270" s="47" t="s">
        <v>148</v>
      </c>
      <c r="H270" s="39">
        <v>0</v>
      </c>
      <c r="I270" s="39">
        <f t="shared" ref="I270:I303" si="31">(H270*5)/1000</f>
        <v>0</v>
      </c>
      <c r="J270" s="39">
        <f t="shared" ref="J270:J303" si="32">I270/$C$10</f>
        <v>0</v>
      </c>
    </row>
    <row r="271" spans="6:10" x14ac:dyDescent="0.2">
      <c r="F271" s="47" t="s">
        <v>18</v>
      </c>
      <c r="G271" s="63" t="s">
        <v>149</v>
      </c>
      <c r="H271" s="39">
        <v>0</v>
      </c>
      <c r="I271" s="39">
        <f t="shared" si="31"/>
        <v>0</v>
      </c>
      <c r="J271" s="39">
        <f t="shared" si="32"/>
        <v>0</v>
      </c>
    </row>
    <row r="272" spans="6:10" x14ac:dyDescent="0.2">
      <c r="F272" s="47" t="s">
        <v>150</v>
      </c>
      <c r="G272" s="63" t="s">
        <v>151</v>
      </c>
      <c r="H272" s="39">
        <v>0</v>
      </c>
      <c r="I272" s="39">
        <f t="shared" si="31"/>
        <v>0</v>
      </c>
      <c r="J272" s="39">
        <f t="shared" si="32"/>
        <v>0</v>
      </c>
    </row>
    <row r="273" spans="6:10" x14ac:dyDescent="0.2">
      <c r="F273" s="47" t="s">
        <v>152</v>
      </c>
      <c r="G273" s="63" t="s">
        <v>153</v>
      </c>
      <c r="H273" s="39">
        <v>0</v>
      </c>
      <c r="I273" s="39">
        <f t="shared" si="31"/>
        <v>0</v>
      </c>
      <c r="J273" s="39">
        <f t="shared" si="32"/>
        <v>0</v>
      </c>
    </row>
    <row r="274" spans="6:10" x14ac:dyDescent="0.2">
      <c r="F274" s="47" t="s">
        <v>19</v>
      </c>
      <c r="G274" s="63" t="s">
        <v>154</v>
      </c>
      <c r="H274" s="39">
        <v>0</v>
      </c>
      <c r="I274" s="39">
        <f t="shared" si="31"/>
        <v>0</v>
      </c>
      <c r="J274" s="39">
        <f t="shared" si="32"/>
        <v>0</v>
      </c>
    </row>
    <row r="275" spans="6:10" x14ac:dyDescent="0.2">
      <c r="F275" s="67" t="s">
        <v>20</v>
      </c>
      <c r="G275" s="65" t="s">
        <v>155</v>
      </c>
      <c r="H275" s="39">
        <v>0</v>
      </c>
      <c r="I275" s="39">
        <f t="shared" si="31"/>
        <v>0</v>
      </c>
      <c r="J275" s="39">
        <f t="shared" si="32"/>
        <v>0</v>
      </c>
    </row>
    <row r="276" spans="6:10" x14ac:dyDescent="0.2">
      <c r="F276" s="47" t="s">
        <v>21</v>
      </c>
      <c r="G276" s="63" t="s">
        <v>156</v>
      </c>
      <c r="H276" s="39">
        <v>7.05</v>
      </c>
      <c r="I276" s="39">
        <f t="shared" si="31"/>
        <v>3.5249999999999997E-2</v>
      </c>
      <c r="J276" s="39">
        <f t="shared" si="32"/>
        <v>0.70499999999999985</v>
      </c>
    </row>
    <row r="277" spans="6:10" x14ac:dyDescent="0.2">
      <c r="F277" s="47" t="s">
        <v>29</v>
      </c>
      <c r="G277" s="63" t="s">
        <v>157</v>
      </c>
      <c r="H277" s="39">
        <v>0.69</v>
      </c>
      <c r="I277" s="39">
        <f t="shared" si="31"/>
        <v>3.4499999999999999E-3</v>
      </c>
      <c r="J277" s="39">
        <f t="shared" si="32"/>
        <v>6.8999999999999992E-2</v>
      </c>
    </row>
    <row r="278" spans="6:10" x14ac:dyDescent="0.2">
      <c r="F278" s="47" t="s">
        <v>22</v>
      </c>
      <c r="G278" s="63" t="s">
        <v>158</v>
      </c>
      <c r="H278" s="39">
        <v>2.2200000000000002</v>
      </c>
      <c r="I278" s="39">
        <f t="shared" si="31"/>
        <v>1.1100000000000002E-2</v>
      </c>
      <c r="J278" s="39">
        <f t="shared" si="32"/>
        <v>0.22200000000000003</v>
      </c>
    </row>
    <row r="279" spans="6:10" x14ac:dyDescent="0.2">
      <c r="F279" s="47" t="s">
        <v>159</v>
      </c>
      <c r="G279" s="47" t="s">
        <v>160</v>
      </c>
      <c r="H279" s="39">
        <v>0</v>
      </c>
      <c r="I279" s="39">
        <f t="shared" si="31"/>
        <v>0</v>
      </c>
      <c r="J279" s="39">
        <f t="shared" si="32"/>
        <v>0</v>
      </c>
    </row>
    <row r="280" spans="6:10" x14ac:dyDescent="0.2">
      <c r="F280" s="47" t="s">
        <v>23</v>
      </c>
      <c r="G280" s="47" t="s">
        <v>161</v>
      </c>
      <c r="H280" s="39">
        <v>89.55</v>
      </c>
      <c r="I280" s="39">
        <f t="shared" si="31"/>
        <v>0.44774999999999998</v>
      </c>
      <c r="J280" s="39">
        <f t="shared" si="32"/>
        <v>8.9549999999999983</v>
      </c>
    </row>
    <row r="281" spans="6:10" x14ac:dyDescent="0.2">
      <c r="F281" s="47" t="s">
        <v>30</v>
      </c>
      <c r="G281" s="47" t="s">
        <v>162</v>
      </c>
      <c r="H281" s="39">
        <v>18.309999999999999</v>
      </c>
      <c r="I281" s="39">
        <f t="shared" si="31"/>
        <v>9.1549999999999992E-2</v>
      </c>
      <c r="J281" s="39">
        <f t="shared" si="32"/>
        <v>1.8309999999999997</v>
      </c>
    </row>
    <row r="282" spans="6:10" x14ac:dyDescent="0.2">
      <c r="F282" s="47" t="s">
        <v>24</v>
      </c>
      <c r="G282" s="47" t="s">
        <v>163</v>
      </c>
      <c r="H282" s="39">
        <v>4.66</v>
      </c>
      <c r="I282" s="39">
        <f t="shared" si="31"/>
        <v>2.3300000000000001E-2</v>
      </c>
      <c r="J282" s="39">
        <f t="shared" si="32"/>
        <v>0.46600000000000003</v>
      </c>
    </row>
    <row r="283" spans="6:10" x14ac:dyDescent="0.2">
      <c r="F283" s="47" t="s">
        <v>31</v>
      </c>
      <c r="G283" s="47" t="s">
        <v>165</v>
      </c>
      <c r="H283" s="39">
        <v>3.74</v>
      </c>
      <c r="I283" s="39">
        <f t="shared" si="31"/>
        <v>1.8700000000000001E-2</v>
      </c>
      <c r="J283" s="39">
        <f t="shared" si="32"/>
        <v>0.374</v>
      </c>
    </row>
    <row r="284" spans="6:10" x14ac:dyDescent="0.2">
      <c r="F284" s="47" t="s">
        <v>25</v>
      </c>
      <c r="G284" s="47" t="s">
        <v>167</v>
      </c>
      <c r="H284" s="39">
        <v>41.05</v>
      </c>
      <c r="I284" s="39">
        <f t="shared" si="31"/>
        <v>0.20524999999999999</v>
      </c>
      <c r="J284" s="39">
        <f t="shared" si="32"/>
        <v>4.1049999999999995</v>
      </c>
    </row>
    <row r="285" spans="6:10" x14ac:dyDescent="0.2">
      <c r="F285" s="47" t="s">
        <v>32</v>
      </c>
      <c r="G285" s="47" t="s">
        <v>168</v>
      </c>
      <c r="H285" s="39">
        <v>192.07</v>
      </c>
      <c r="I285" s="39">
        <f t="shared" si="31"/>
        <v>0.96034999999999993</v>
      </c>
      <c r="J285" s="39">
        <f t="shared" si="32"/>
        <v>19.206999999999997</v>
      </c>
    </row>
    <row r="286" spans="6:10" x14ac:dyDescent="0.2">
      <c r="F286" s="47" t="s">
        <v>37</v>
      </c>
      <c r="G286" s="47" t="s">
        <v>170</v>
      </c>
      <c r="H286" s="39">
        <v>4.18</v>
      </c>
      <c r="I286" s="39">
        <f t="shared" si="31"/>
        <v>2.0899999999999998E-2</v>
      </c>
      <c r="J286" s="39">
        <f t="shared" si="32"/>
        <v>0.41799999999999993</v>
      </c>
    </row>
    <row r="287" spans="6:10" x14ac:dyDescent="0.2">
      <c r="F287" s="47" t="s">
        <v>171</v>
      </c>
      <c r="G287" s="47" t="s">
        <v>172</v>
      </c>
      <c r="H287" s="39">
        <v>1.61</v>
      </c>
      <c r="I287" s="39">
        <f t="shared" si="31"/>
        <v>8.0499999999999999E-3</v>
      </c>
      <c r="J287" s="39">
        <f t="shared" si="32"/>
        <v>0.16099999999999998</v>
      </c>
    </row>
    <row r="288" spans="6:10" x14ac:dyDescent="0.2">
      <c r="F288" s="47" t="s">
        <v>42</v>
      </c>
      <c r="G288" s="47" t="s">
        <v>174</v>
      </c>
      <c r="H288" s="39">
        <v>3.01</v>
      </c>
      <c r="I288" s="39">
        <f t="shared" si="31"/>
        <v>1.5049999999999999E-2</v>
      </c>
      <c r="J288" s="39">
        <f t="shared" si="32"/>
        <v>0.30099999999999999</v>
      </c>
    </row>
    <row r="289" spans="6:10" x14ac:dyDescent="0.2">
      <c r="F289" s="67" t="s">
        <v>38</v>
      </c>
      <c r="G289" s="37" t="s">
        <v>175</v>
      </c>
      <c r="H289" s="39">
        <v>0</v>
      </c>
      <c r="I289" s="39">
        <f t="shared" si="31"/>
        <v>0</v>
      </c>
      <c r="J289" s="39">
        <f t="shared" si="32"/>
        <v>0</v>
      </c>
    </row>
    <row r="290" spans="6:10" x14ac:dyDescent="0.2">
      <c r="F290" s="47" t="s">
        <v>26</v>
      </c>
      <c r="G290" s="47" t="s">
        <v>177</v>
      </c>
      <c r="H290" s="39">
        <v>0</v>
      </c>
      <c r="I290" s="39">
        <f t="shared" si="31"/>
        <v>0</v>
      </c>
      <c r="J290" s="39">
        <f t="shared" si="32"/>
        <v>0</v>
      </c>
    </row>
    <row r="291" spans="6:10" x14ac:dyDescent="0.2">
      <c r="F291" s="47" t="s">
        <v>33</v>
      </c>
      <c r="G291" s="47" t="s">
        <v>178</v>
      </c>
      <c r="H291" s="39">
        <v>33.78</v>
      </c>
      <c r="I291" s="39">
        <f t="shared" si="31"/>
        <v>0.16889999999999999</v>
      </c>
      <c r="J291" s="39">
        <f t="shared" si="32"/>
        <v>3.3779999999999997</v>
      </c>
    </row>
    <row r="292" spans="6:10" x14ac:dyDescent="0.2">
      <c r="F292" s="47" t="s">
        <v>39</v>
      </c>
      <c r="G292" s="47" t="s">
        <v>180</v>
      </c>
      <c r="H292" s="39">
        <v>1.8</v>
      </c>
      <c r="I292" s="39">
        <f t="shared" si="31"/>
        <v>8.9999999999999993E-3</v>
      </c>
      <c r="J292" s="39">
        <f t="shared" si="32"/>
        <v>0.17999999999999997</v>
      </c>
    </row>
    <row r="293" spans="6:10" x14ac:dyDescent="0.2">
      <c r="F293" s="47" t="s">
        <v>40</v>
      </c>
      <c r="G293" s="47" t="s">
        <v>182</v>
      </c>
      <c r="H293" s="39">
        <v>0</v>
      </c>
      <c r="I293" s="39">
        <f t="shared" si="31"/>
        <v>0</v>
      </c>
      <c r="J293" s="39">
        <f t="shared" si="32"/>
        <v>0</v>
      </c>
    </row>
    <row r="294" spans="6:10" x14ac:dyDescent="0.2">
      <c r="F294" s="67" t="s">
        <v>43</v>
      </c>
      <c r="G294" s="47" t="s">
        <v>184</v>
      </c>
      <c r="H294" s="39">
        <v>15.78</v>
      </c>
      <c r="I294" s="39">
        <f t="shared" si="31"/>
        <v>7.8899999999999998E-2</v>
      </c>
      <c r="J294" s="39">
        <f t="shared" si="32"/>
        <v>1.5779999999999998</v>
      </c>
    </row>
    <row r="295" spans="6:10" x14ac:dyDescent="0.2">
      <c r="F295" s="68" t="s">
        <v>186</v>
      </c>
      <c r="G295" s="68" t="s">
        <v>187</v>
      </c>
      <c r="H295" s="83">
        <v>0</v>
      </c>
      <c r="I295" s="39">
        <f t="shared" si="31"/>
        <v>0</v>
      </c>
      <c r="J295" s="39">
        <f t="shared" si="32"/>
        <v>0</v>
      </c>
    </row>
    <row r="296" spans="6:10" x14ac:dyDescent="0.2">
      <c r="F296" s="47" t="s">
        <v>44</v>
      </c>
      <c r="G296" s="47" t="s">
        <v>188</v>
      </c>
      <c r="H296" s="39">
        <v>24.01</v>
      </c>
      <c r="I296" s="39">
        <f t="shared" si="31"/>
        <v>0.12005000000000002</v>
      </c>
      <c r="J296" s="39">
        <f t="shared" si="32"/>
        <v>2.4010000000000002</v>
      </c>
    </row>
    <row r="297" spans="6:10" x14ac:dyDescent="0.2">
      <c r="F297" s="68" t="s">
        <v>164</v>
      </c>
      <c r="G297" s="68" t="s">
        <v>189</v>
      </c>
      <c r="H297" s="83">
        <v>0</v>
      </c>
      <c r="I297" s="39">
        <f t="shared" si="31"/>
        <v>0</v>
      </c>
      <c r="J297" s="39">
        <f t="shared" si="32"/>
        <v>0</v>
      </c>
    </row>
    <row r="298" spans="6:10" x14ac:dyDescent="0.2">
      <c r="F298" s="47" t="s">
        <v>166</v>
      </c>
      <c r="G298" s="47" t="s">
        <v>190</v>
      </c>
      <c r="H298" s="39">
        <v>0</v>
      </c>
      <c r="I298" s="39">
        <f t="shared" si="31"/>
        <v>0</v>
      </c>
      <c r="J298" s="39">
        <f t="shared" si="32"/>
        <v>0</v>
      </c>
    </row>
    <row r="299" spans="6:10" x14ac:dyDescent="0.2">
      <c r="F299" s="47" t="s">
        <v>34</v>
      </c>
      <c r="G299" s="47" t="s">
        <v>191</v>
      </c>
      <c r="H299" s="39">
        <v>3.64</v>
      </c>
      <c r="I299" s="39">
        <f t="shared" si="31"/>
        <v>1.8200000000000001E-2</v>
      </c>
      <c r="J299" s="39">
        <f t="shared" si="32"/>
        <v>0.36399999999999999</v>
      </c>
    </row>
    <row r="300" spans="6:10" x14ac:dyDescent="0.2">
      <c r="F300" s="47" t="s">
        <v>27</v>
      </c>
      <c r="G300" s="47" t="s">
        <v>192</v>
      </c>
      <c r="H300" s="39">
        <v>13.99</v>
      </c>
      <c r="I300" s="39">
        <f t="shared" si="31"/>
        <v>6.9949999999999998E-2</v>
      </c>
      <c r="J300" s="39">
        <f t="shared" si="32"/>
        <v>1.3989999999999998</v>
      </c>
    </row>
    <row r="301" spans="6:10" x14ac:dyDescent="0.2">
      <c r="F301" s="47" t="s">
        <v>45</v>
      </c>
      <c r="G301" s="47" t="s">
        <v>193</v>
      </c>
      <c r="H301" s="39">
        <v>255.16</v>
      </c>
      <c r="I301" s="39">
        <f t="shared" si="31"/>
        <v>1.2758</v>
      </c>
      <c r="J301" s="39">
        <f t="shared" si="32"/>
        <v>25.515999999999998</v>
      </c>
    </row>
    <row r="302" spans="6:10" x14ac:dyDescent="0.2">
      <c r="F302" s="47" t="s">
        <v>169</v>
      </c>
      <c r="G302" s="47" t="s">
        <v>194</v>
      </c>
      <c r="H302" s="39">
        <v>0</v>
      </c>
      <c r="I302" s="39">
        <f t="shared" si="31"/>
        <v>0</v>
      </c>
      <c r="J302" s="39">
        <f t="shared" si="32"/>
        <v>0</v>
      </c>
    </row>
    <row r="303" spans="6:10" x14ac:dyDescent="0.2">
      <c r="F303" s="47" t="s">
        <v>35</v>
      </c>
      <c r="G303" s="47" t="s">
        <v>196</v>
      </c>
      <c r="H303" s="39">
        <v>2</v>
      </c>
      <c r="I303" s="39">
        <f t="shared" si="31"/>
        <v>0.01</v>
      </c>
      <c r="J303" s="39">
        <f t="shared" si="32"/>
        <v>0.19999999999999998</v>
      </c>
    </row>
    <row r="304" spans="6:10" x14ac:dyDescent="0.2">
      <c r="H304" s="39" t="s">
        <v>221</v>
      </c>
      <c r="I304" s="39">
        <f>SUM(I274:I302)</f>
        <v>3.5815000000000001</v>
      </c>
    </row>
    <row r="306" spans="6:10" ht="16" x14ac:dyDescent="0.2">
      <c r="F306" s="89"/>
      <c r="G306" s="89"/>
      <c r="H306" s="41">
        <v>897</v>
      </c>
      <c r="I306" s="89"/>
      <c r="J306" s="89"/>
    </row>
    <row r="307" spans="6:10" x14ac:dyDescent="0.2">
      <c r="F307" s="47" t="s">
        <v>216</v>
      </c>
      <c r="G307" s="47" t="s">
        <v>217</v>
      </c>
      <c r="H307" s="39" t="s">
        <v>218</v>
      </c>
      <c r="I307" s="39" t="s">
        <v>219</v>
      </c>
      <c r="J307" s="39" t="s">
        <v>220</v>
      </c>
    </row>
    <row r="308" spans="6:10" x14ac:dyDescent="0.2">
      <c r="F308" s="47" t="s">
        <v>147</v>
      </c>
      <c r="G308" s="47" t="s">
        <v>148</v>
      </c>
      <c r="H308" s="39">
        <v>0</v>
      </c>
      <c r="I308" s="39">
        <f t="shared" ref="I308:I341" si="33">(H308*5)/1000</f>
        <v>0</v>
      </c>
      <c r="J308" s="39">
        <f t="shared" ref="J308:J341" si="34">I308/$C$11</f>
        <v>0</v>
      </c>
    </row>
    <row r="309" spans="6:10" x14ac:dyDescent="0.2">
      <c r="F309" s="47" t="s">
        <v>18</v>
      </c>
      <c r="G309" s="63" t="s">
        <v>149</v>
      </c>
      <c r="H309" s="39">
        <v>0</v>
      </c>
      <c r="I309" s="39">
        <f t="shared" si="33"/>
        <v>0</v>
      </c>
      <c r="J309" s="39">
        <f t="shared" si="34"/>
        <v>0</v>
      </c>
    </row>
    <row r="310" spans="6:10" x14ac:dyDescent="0.2">
      <c r="F310" s="47" t="s">
        <v>150</v>
      </c>
      <c r="G310" s="63" t="s">
        <v>151</v>
      </c>
      <c r="H310" s="39">
        <v>0</v>
      </c>
      <c r="I310" s="39">
        <f t="shared" si="33"/>
        <v>0</v>
      </c>
      <c r="J310" s="39">
        <f t="shared" si="34"/>
        <v>0</v>
      </c>
    </row>
    <row r="311" spans="6:10" x14ac:dyDescent="0.2">
      <c r="F311" s="47" t="s">
        <v>152</v>
      </c>
      <c r="G311" s="63" t="s">
        <v>153</v>
      </c>
      <c r="H311" s="39">
        <v>0</v>
      </c>
      <c r="I311" s="39">
        <f t="shared" si="33"/>
        <v>0</v>
      </c>
      <c r="J311" s="39">
        <f t="shared" si="34"/>
        <v>0</v>
      </c>
    </row>
    <row r="312" spans="6:10" x14ac:dyDescent="0.2">
      <c r="F312" s="47" t="s">
        <v>19</v>
      </c>
      <c r="G312" s="63" t="s">
        <v>154</v>
      </c>
      <c r="H312" s="39">
        <v>0</v>
      </c>
      <c r="I312" s="39">
        <f t="shared" si="33"/>
        <v>0</v>
      </c>
      <c r="J312" s="39">
        <f t="shared" si="34"/>
        <v>0</v>
      </c>
    </row>
    <row r="313" spans="6:10" x14ac:dyDescent="0.2">
      <c r="F313" s="67" t="s">
        <v>20</v>
      </c>
      <c r="G313" s="65" t="s">
        <v>155</v>
      </c>
      <c r="H313" s="39">
        <v>0</v>
      </c>
      <c r="I313" s="39">
        <f t="shared" si="33"/>
        <v>0</v>
      </c>
      <c r="J313" s="39">
        <f t="shared" si="34"/>
        <v>0</v>
      </c>
    </row>
    <row r="314" spans="6:10" x14ac:dyDescent="0.2">
      <c r="F314" s="47" t="s">
        <v>21</v>
      </c>
      <c r="G314" s="63" t="s">
        <v>156</v>
      </c>
      <c r="H314" s="39">
        <v>0</v>
      </c>
      <c r="I314" s="39">
        <f t="shared" si="33"/>
        <v>0</v>
      </c>
      <c r="J314" s="39">
        <f t="shared" si="34"/>
        <v>0</v>
      </c>
    </row>
    <row r="315" spans="6:10" x14ac:dyDescent="0.2">
      <c r="F315" s="47" t="s">
        <v>29</v>
      </c>
      <c r="G315" s="63" t="s">
        <v>157</v>
      </c>
      <c r="H315" s="39">
        <v>0</v>
      </c>
      <c r="I315" s="39">
        <f t="shared" si="33"/>
        <v>0</v>
      </c>
      <c r="J315" s="39">
        <f t="shared" si="34"/>
        <v>0</v>
      </c>
    </row>
    <row r="316" spans="6:10" x14ac:dyDescent="0.2">
      <c r="F316" s="47" t="s">
        <v>22</v>
      </c>
      <c r="G316" s="63" t="s">
        <v>158</v>
      </c>
      <c r="H316" s="39">
        <v>0</v>
      </c>
      <c r="I316" s="39">
        <f t="shared" si="33"/>
        <v>0</v>
      </c>
      <c r="J316" s="39">
        <f t="shared" si="34"/>
        <v>0</v>
      </c>
    </row>
    <row r="317" spans="6:10" x14ac:dyDescent="0.2">
      <c r="F317" s="47" t="s">
        <v>159</v>
      </c>
      <c r="G317" s="47" t="s">
        <v>160</v>
      </c>
      <c r="H317" s="39">
        <v>0</v>
      </c>
      <c r="I317" s="39">
        <f t="shared" si="33"/>
        <v>0</v>
      </c>
      <c r="J317" s="39">
        <f t="shared" si="34"/>
        <v>0</v>
      </c>
    </row>
    <row r="318" spans="6:10" x14ac:dyDescent="0.2">
      <c r="F318" s="47" t="s">
        <v>23</v>
      </c>
      <c r="G318" s="47" t="s">
        <v>161</v>
      </c>
      <c r="H318" s="39">
        <v>2.1</v>
      </c>
      <c r="I318" s="39">
        <f t="shared" si="33"/>
        <v>1.0500000000000001E-2</v>
      </c>
      <c r="J318" s="39">
        <f t="shared" si="34"/>
        <v>0.21</v>
      </c>
    </row>
    <row r="319" spans="6:10" x14ac:dyDescent="0.2">
      <c r="F319" s="47" t="s">
        <v>30</v>
      </c>
      <c r="G319" s="47" t="s">
        <v>162</v>
      </c>
      <c r="H319" s="39">
        <v>0</v>
      </c>
      <c r="I319" s="39">
        <f t="shared" si="33"/>
        <v>0</v>
      </c>
      <c r="J319" s="39">
        <f t="shared" si="34"/>
        <v>0</v>
      </c>
    </row>
    <row r="320" spans="6:10" x14ac:dyDescent="0.2">
      <c r="F320" s="47" t="s">
        <v>24</v>
      </c>
      <c r="G320" s="47" t="s">
        <v>163</v>
      </c>
      <c r="H320" s="39">
        <v>0</v>
      </c>
      <c r="I320" s="39">
        <f t="shared" si="33"/>
        <v>0</v>
      </c>
      <c r="J320" s="39">
        <f t="shared" si="34"/>
        <v>0</v>
      </c>
    </row>
    <row r="321" spans="6:10" x14ac:dyDescent="0.2">
      <c r="F321" s="47" t="s">
        <v>31</v>
      </c>
      <c r="G321" s="47" t="s">
        <v>165</v>
      </c>
      <c r="H321" s="39">
        <v>0</v>
      </c>
      <c r="I321" s="39">
        <f t="shared" si="33"/>
        <v>0</v>
      </c>
      <c r="J321" s="39">
        <f t="shared" si="34"/>
        <v>0</v>
      </c>
    </row>
    <row r="322" spans="6:10" x14ac:dyDescent="0.2">
      <c r="F322" s="47" t="s">
        <v>25</v>
      </c>
      <c r="G322" s="47" t="s">
        <v>167</v>
      </c>
      <c r="H322" s="39">
        <v>1.55</v>
      </c>
      <c r="I322" s="39">
        <f t="shared" si="33"/>
        <v>7.7499999999999999E-3</v>
      </c>
      <c r="J322" s="39">
        <f t="shared" si="34"/>
        <v>0.155</v>
      </c>
    </row>
    <row r="323" spans="6:10" x14ac:dyDescent="0.2">
      <c r="F323" s="47" t="s">
        <v>32</v>
      </c>
      <c r="G323" s="47" t="s">
        <v>168</v>
      </c>
      <c r="H323" s="39">
        <v>0</v>
      </c>
      <c r="I323" s="39">
        <f t="shared" si="33"/>
        <v>0</v>
      </c>
      <c r="J323" s="39">
        <f t="shared" si="34"/>
        <v>0</v>
      </c>
    </row>
    <row r="324" spans="6:10" x14ac:dyDescent="0.2">
      <c r="F324" s="47" t="s">
        <v>37</v>
      </c>
      <c r="G324" s="47" t="s">
        <v>170</v>
      </c>
      <c r="H324" s="39">
        <v>0</v>
      </c>
      <c r="I324" s="39">
        <f t="shared" si="33"/>
        <v>0</v>
      </c>
      <c r="J324" s="39">
        <f t="shared" si="34"/>
        <v>0</v>
      </c>
    </row>
    <row r="325" spans="6:10" x14ac:dyDescent="0.2">
      <c r="F325" s="47" t="s">
        <v>171</v>
      </c>
      <c r="G325" s="47" t="s">
        <v>172</v>
      </c>
      <c r="H325" s="39">
        <v>0</v>
      </c>
      <c r="I325" s="39">
        <f t="shared" si="33"/>
        <v>0</v>
      </c>
      <c r="J325" s="39">
        <f t="shared" si="34"/>
        <v>0</v>
      </c>
    </row>
    <row r="326" spans="6:10" x14ac:dyDescent="0.2">
      <c r="F326" s="47" t="s">
        <v>42</v>
      </c>
      <c r="G326" s="47" t="s">
        <v>174</v>
      </c>
      <c r="H326" s="39">
        <v>0</v>
      </c>
      <c r="I326" s="39">
        <f t="shared" si="33"/>
        <v>0</v>
      </c>
      <c r="J326" s="39">
        <f t="shared" si="34"/>
        <v>0</v>
      </c>
    </row>
    <row r="327" spans="6:10" x14ac:dyDescent="0.2">
      <c r="F327" s="67" t="s">
        <v>38</v>
      </c>
      <c r="G327" s="37" t="s">
        <v>175</v>
      </c>
      <c r="H327" s="39">
        <v>0</v>
      </c>
      <c r="I327" s="39">
        <f t="shared" si="33"/>
        <v>0</v>
      </c>
      <c r="J327" s="39">
        <f t="shared" si="34"/>
        <v>0</v>
      </c>
    </row>
    <row r="328" spans="6:10" x14ac:dyDescent="0.2">
      <c r="F328" s="47" t="s">
        <v>26</v>
      </c>
      <c r="G328" s="47" t="s">
        <v>177</v>
      </c>
      <c r="H328" s="39">
        <v>0</v>
      </c>
      <c r="I328" s="39">
        <f t="shared" si="33"/>
        <v>0</v>
      </c>
      <c r="J328" s="39">
        <f t="shared" si="34"/>
        <v>0</v>
      </c>
    </row>
    <row r="329" spans="6:10" x14ac:dyDescent="0.2">
      <c r="F329" s="47" t="s">
        <v>33</v>
      </c>
      <c r="G329" s="47" t="s">
        <v>178</v>
      </c>
      <c r="H329" s="39">
        <v>0</v>
      </c>
      <c r="I329" s="39">
        <f t="shared" si="33"/>
        <v>0</v>
      </c>
      <c r="J329" s="39">
        <f t="shared" si="34"/>
        <v>0</v>
      </c>
    </row>
    <row r="330" spans="6:10" x14ac:dyDescent="0.2">
      <c r="F330" s="47" t="s">
        <v>39</v>
      </c>
      <c r="G330" s="47" t="s">
        <v>180</v>
      </c>
      <c r="H330" s="39">
        <v>0</v>
      </c>
      <c r="I330" s="39">
        <f t="shared" si="33"/>
        <v>0</v>
      </c>
      <c r="J330" s="39">
        <f t="shared" si="34"/>
        <v>0</v>
      </c>
    </row>
    <row r="331" spans="6:10" x14ac:dyDescent="0.2">
      <c r="F331" s="47" t="s">
        <v>40</v>
      </c>
      <c r="G331" s="47" t="s">
        <v>182</v>
      </c>
      <c r="H331" s="39">
        <v>0</v>
      </c>
      <c r="I331" s="39">
        <f t="shared" si="33"/>
        <v>0</v>
      </c>
      <c r="J331" s="39">
        <f t="shared" si="34"/>
        <v>0</v>
      </c>
    </row>
    <row r="332" spans="6:10" x14ac:dyDescent="0.2">
      <c r="F332" s="67" t="s">
        <v>43</v>
      </c>
      <c r="G332" s="47" t="s">
        <v>184</v>
      </c>
      <c r="H332" s="39">
        <v>0</v>
      </c>
      <c r="I332" s="39">
        <f t="shared" si="33"/>
        <v>0</v>
      </c>
      <c r="J332" s="39">
        <f t="shared" si="34"/>
        <v>0</v>
      </c>
    </row>
    <row r="333" spans="6:10" x14ac:dyDescent="0.2">
      <c r="F333" s="68" t="s">
        <v>186</v>
      </c>
      <c r="G333" s="68" t="s">
        <v>187</v>
      </c>
      <c r="H333" s="66">
        <v>0</v>
      </c>
      <c r="I333" s="39">
        <f t="shared" si="33"/>
        <v>0</v>
      </c>
      <c r="J333" s="39">
        <f t="shared" si="34"/>
        <v>0</v>
      </c>
    </row>
    <row r="334" spans="6:10" x14ac:dyDescent="0.2">
      <c r="F334" s="47" t="s">
        <v>44</v>
      </c>
      <c r="G334" s="47" t="s">
        <v>188</v>
      </c>
      <c r="H334" s="39">
        <v>0</v>
      </c>
      <c r="I334" s="39">
        <f t="shared" si="33"/>
        <v>0</v>
      </c>
      <c r="J334" s="39">
        <f t="shared" si="34"/>
        <v>0</v>
      </c>
    </row>
    <row r="335" spans="6:10" x14ac:dyDescent="0.2">
      <c r="F335" s="68" t="s">
        <v>164</v>
      </c>
      <c r="G335" s="68" t="s">
        <v>189</v>
      </c>
      <c r="H335" s="66">
        <v>0</v>
      </c>
      <c r="I335" s="39">
        <f t="shared" si="33"/>
        <v>0</v>
      </c>
      <c r="J335" s="39">
        <f t="shared" si="34"/>
        <v>0</v>
      </c>
    </row>
    <row r="336" spans="6:10" x14ac:dyDescent="0.2">
      <c r="F336" s="47" t="s">
        <v>166</v>
      </c>
      <c r="G336" s="47" t="s">
        <v>190</v>
      </c>
      <c r="H336" s="39">
        <v>0</v>
      </c>
      <c r="I336" s="39">
        <f t="shared" si="33"/>
        <v>0</v>
      </c>
      <c r="J336" s="39">
        <f t="shared" si="34"/>
        <v>0</v>
      </c>
    </row>
    <row r="337" spans="6:10" x14ac:dyDescent="0.2">
      <c r="F337" s="47" t="s">
        <v>34</v>
      </c>
      <c r="G337" s="47" t="s">
        <v>191</v>
      </c>
      <c r="H337" s="39">
        <v>0</v>
      </c>
      <c r="I337" s="39">
        <f t="shared" si="33"/>
        <v>0</v>
      </c>
      <c r="J337" s="39">
        <f t="shared" si="34"/>
        <v>0</v>
      </c>
    </row>
    <row r="338" spans="6:10" x14ac:dyDescent="0.2">
      <c r="F338" s="47" t="s">
        <v>27</v>
      </c>
      <c r="G338" s="47" t="s">
        <v>192</v>
      </c>
      <c r="H338" s="39">
        <v>0</v>
      </c>
      <c r="I338" s="39">
        <f t="shared" si="33"/>
        <v>0</v>
      </c>
      <c r="J338" s="39">
        <f t="shared" si="34"/>
        <v>0</v>
      </c>
    </row>
    <row r="339" spans="6:10" x14ac:dyDescent="0.2">
      <c r="F339" s="47" t="s">
        <v>45</v>
      </c>
      <c r="G339" s="47" t="s">
        <v>193</v>
      </c>
      <c r="H339" s="39">
        <v>0</v>
      </c>
      <c r="I339" s="39">
        <f t="shared" si="33"/>
        <v>0</v>
      </c>
      <c r="J339" s="39">
        <f t="shared" si="34"/>
        <v>0</v>
      </c>
    </row>
    <row r="340" spans="6:10" x14ac:dyDescent="0.2">
      <c r="F340" s="47" t="s">
        <v>169</v>
      </c>
      <c r="G340" s="47" t="s">
        <v>194</v>
      </c>
      <c r="H340" s="39">
        <v>0</v>
      </c>
      <c r="I340" s="39">
        <f t="shared" si="33"/>
        <v>0</v>
      </c>
      <c r="J340" s="39">
        <f t="shared" si="34"/>
        <v>0</v>
      </c>
    </row>
    <row r="341" spans="6:10" x14ac:dyDescent="0.2">
      <c r="F341" s="90" t="s">
        <v>35</v>
      </c>
      <c r="G341" s="47" t="s">
        <v>196</v>
      </c>
      <c r="H341" s="39">
        <v>0</v>
      </c>
      <c r="I341" s="91">
        <f t="shared" si="33"/>
        <v>0</v>
      </c>
      <c r="J341" s="39">
        <f t="shared" si="34"/>
        <v>0</v>
      </c>
    </row>
    <row r="342" spans="6:10" x14ac:dyDescent="0.2">
      <c r="F342" s="81"/>
      <c r="G342" s="81"/>
      <c r="H342" s="39" t="s">
        <v>221</v>
      </c>
      <c r="I342" s="39">
        <f>SUM(I308:I341)</f>
        <v>1.8250000000000002E-2</v>
      </c>
      <c r="J342" s="81"/>
    </row>
    <row r="344" spans="6:10" ht="16" x14ac:dyDescent="0.2">
      <c r="H344" s="36">
        <v>66</v>
      </c>
    </row>
    <row r="345" spans="6:10" x14ac:dyDescent="0.2">
      <c r="F345" s="47" t="s">
        <v>216</v>
      </c>
      <c r="G345" s="47" t="s">
        <v>217</v>
      </c>
      <c r="H345" s="39" t="s">
        <v>218</v>
      </c>
      <c r="I345" s="39" t="s">
        <v>219</v>
      </c>
      <c r="J345" s="39" t="s">
        <v>220</v>
      </c>
    </row>
    <row r="346" spans="6:10" x14ac:dyDescent="0.2">
      <c r="F346" s="47" t="s">
        <v>147</v>
      </c>
      <c r="G346" s="47" t="s">
        <v>148</v>
      </c>
      <c r="H346" s="39">
        <v>0</v>
      </c>
      <c r="I346" s="39">
        <f t="shared" ref="I346:I379" si="35">(H346*5)/1000</f>
        <v>0</v>
      </c>
      <c r="J346" s="39">
        <f t="shared" ref="J346:J379" si="36">I346/$C$12</f>
        <v>0</v>
      </c>
    </row>
    <row r="347" spans="6:10" x14ac:dyDescent="0.2">
      <c r="F347" s="47" t="s">
        <v>18</v>
      </c>
      <c r="G347" s="63" t="s">
        <v>149</v>
      </c>
      <c r="H347" s="39">
        <v>0</v>
      </c>
      <c r="I347" s="39">
        <f t="shared" si="35"/>
        <v>0</v>
      </c>
      <c r="J347" s="39">
        <f t="shared" si="36"/>
        <v>0</v>
      </c>
    </row>
    <row r="348" spans="6:10" x14ac:dyDescent="0.2">
      <c r="F348" s="47" t="s">
        <v>150</v>
      </c>
      <c r="G348" s="63" t="s">
        <v>151</v>
      </c>
      <c r="H348" s="39">
        <v>0</v>
      </c>
      <c r="I348" s="39">
        <f t="shared" si="35"/>
        <v>0</v>
      </c>
      <c r="J348" s="39">
        <f t="shared" si="36"/>
        <v>0</v>
      </c>
    </row>
    <row r="349" spans="6:10" x14ac:dyDescent="0.2">
      <c r="F349" s="47" t="s">
        <v>152</v>
      </c>
      <c r="G349" s="63" t="s">
        <v>153</v>
      </c>
      <c r="H349" s="39">
        <v>0</v>
      </c>
      <c r="I349" s="39">
        <f t="shared" si="35"/>
        <v>0</v>
      </c>
      <c r="J349" s="39">
        <f t="shared" si="36"/>
        <v>0</v>
      </c>
    </row>
    <row r="350" spans="6:10" x14ac:dyDescent="0.2">
      <c r="F350" s="47" t="s">
        <v>19</v>
      </c>
      <c r="G350" s="63" t="s">
        <v>154</v>
      </c>
      <c r="H350" s="39">
        <v>0</v>
      </c>
      <c r="I350" s="39">
        <f t="shared" si="35"/>
        <v>0</v>
      </c>
      <c r="J350" s="39">
        <f t="shared" si="36"/>
        <v>0</v>
      </c>
    </row>
    <row r="351" spans="6:10" x14ac:dyDescent="0.2">
      <c r="F351" s="67" t="s">
        <v>20</v>
      </c>
      <c r="G351" s="65" t="s">
        <v>155</v>
      </c>
      <c r="H351" s="39">
        <v>0</v>
      </c>
      <c r="I351" s="39">
        <f t="shared" si="35"/>
        <v>0</v>
      </c>
      <c r="J351" s="39">
        <f t="shared" si="36"/>
        <v>0</v>
      </c>
    </row>
    <row r="352" spans="6:10" x14ac:dyDescent="0.2">
      <c r="F352" s="47" t="s">
        <v>21</v>
      </c>
      <c r="G352" s="63" t="s">
        <v>156</v>
      </c>
      <c r="H352" s="39">
        <v>0</v>
      </c>
      <c r="I352" s="39">
        <f t="shared" si="35"/>
        <v>0</v>
      </c>
      <c r="J352" s="39">
        <f t="shared" si="36"/>
        <v>0</v>
      </c>
    </row>
    <row r="353" spans="6:10" x14ac:dyDescent="0.2">
      <c r="F353" s="47" t="s">
        <v>29</v>
      </c>
      <c r="G353" s="63" t="s">
        <v>157</v>
      </c>
      <c r="H353" s="39">
        <v>0</v>
      </c>
      <c r="I353" s="39">
        <f t="shared" si="35"/>
        <v>0</v>
      </c>
      <c r="J353" s="39">
        <f t="shared" si="36"/>
        <v>0</v>
      </c>
    </row>
    <row r="354" spans="6:10" x14ac:dyDescent="0.2">
      <c r="F354" s="47" t="s">
        <v>22</v>
      </c>
      <c r="G354" s="63" t="s">
        <v>158</v>
      </c>
      <c r="H354" s="39">
        <v>0</v>
      </c>
      <c r="I354" s="39">
        <f t="shared" si="35"/>
        <v>0</v>
      </c>
      <c r="J354" s="39">
        <f t="shared" si="36"/>
        <v>0</v>
      </c>
    </row>
    <row r="355" spans="6:10" x14ac:dyDescent="0.2">
      <c r="F355" s="47" t="s">
        <v>159</v>
      </c>
      <c r="G355" s="47" t="s">
        <v>160</v>
      </c>
      <c r="H355" s="39">
        <v>0</v>
      </c>
      <c r="I355" s="39">
        <f t="shared" si="35"/>
        <v>0</v>
      </c>
      <c r="J355" s="39">
        <f t="shared" si="36"/>
        <v>0</v>
      </c>
    </row>
    <row r="356" spans="6:10" x14ac:dyDescent="0.2">
      <c r="F356" s="47" t="s">
        <v>23</v>
      </c>
      <c r="G356" s="47" t="s">
        <v>161</v>
      </c>
      <c r="H356" s="39">
        <v>9.44</v>
      </c>
      <c r="I356" s="39">
        <f t="shared" si="35"/>
        <v>4.7199999999999999E-2</v>
      </c>
      <c r="J356" s="39">
        <f t="shared" si="36"/>
        <v>0.94399999999999995</v>
      </c>
    </row>
    <row r="357" spans="6:10" x14ac:dyDescent="0.2">
      <c r="F357" s="47" t="s">
        <v>30</v>
      </c>
      <c r="G357" s="47" t="s">
        <v>162</v>
      </c>
      <c r="H357" s="39">
        <v>1.48</v>
      </c>
      <c r="I357" s="39">
        <f t="shared" si="35"/>
        <v>7.4000000000000003E-3</v>
      </c>
      <c r="J357" s="39">
        <f t="shared" si="36"/>
        <v>0.14799999999999999</v>
      </c>
    </row>
    <row r="358" spans="6:10" x14ac:dyDescent="0.2">
      <c r="F358" s="47" t="s">
        <v>24</v>
      </c>
      <c r="G358" s="47" t="s">
        <v>163</v>
      </c>
      <c r="H358" s="39">
        <v>0</v>
      </c>
      <c r="I358" s="39">
        <f t="shared" si="35"/>
        <v>0</v>
      </c>
      <c r="J358" s="39">
        <f t="shared" si="36"/>
        <v>0</v>
      </c>
    </row>
    <row r="359" spans="6:10" x14ac:dyDescent="0.2">
      <c r="F359" s="47" t="s">
        <v>31</v>
      </c>
      <c r="G359" s="47" t="s">
        <v>165</v>
      </c>
      <c r="H359" s="39">
        <v>0</v>
      </c>
      <c r="I359" s="39">
        <f t="shared" si="35"/>
        <v>0</v>
      </c>
      <c r="J359" s="39">
        <f t="shared" si="36"/>
        <v>0</v>
      </c>
    </row>
    <row r="360" spans="6:10" x14ac:dyDescent="0.2">
      <c r="F360" s="47" t="s">
        <v>25</v>
      </c>
      <c r="G360" s="47" t="s">
        <v>167</v>
      </c>
      <c r="H360" s="39">
        <v>5.12</v>
      </c>
      <c r="I360" s="39">
        <f t="shared" si="35"/>
        <v>2.5600000000000001E-2</v>
      </c>
      <c r="J360" s="39">
        <f t="shared" si="36"/>
        <v>0.51200000000000001</v>
      </c>
    </row>
    <row r="361" spans="6:10" x14ac:dyDescent="0.2">
      <c r="F361" s="47" t="s">
        <v>32</v>
      </c>
      <c r="G361" s="47" t="s">
        <v>168</v>
      </c>
      <c r="H361" s="39">
        <v>8.5299999999999994</v>
      </c>
      <c r="I361" s="39">
        <f t="shared" si="35"/>
        <v>4.265E-2</v>
      </c>
      <c r="J361" s="39">
        <f t="shared" si="36"/>
        <v>0.85299999999999998</v>
      </c>
    </row>
    <row r="362" spans="6:10" x14ac:dyDescent="0.2">
      <c r="F362" s="47" t="s">
        <v>37</v>
      </c>
      <c r="G362" s="47" t="s">
        <v>170</v>
      </c>
      <c r="H362" s="39">
        <v>0</v>
      </c>
      <c r="I362" s="39">
        <f t="shared" si="35"/>
        <v>0</v>
      </c>
      <c r="J362" s="39">
        <f t="shared" si="36"/>
        <v>0</v>
      </c>
    </row>
    <row r="363" spans="6:10" x14ac:dyDescent="0.2">
      <c r="F363" s="47" t="s">
        <v>171</v>
      </c>
      <c r="G363" s="47" t="s">
        <v>172</v>
      </c>
      <c r="H363" s="39">
        <v>0</v>
      </c>
      <c r="I363" s="39">
        <f t="shared" si="35"/>
        <v>0</v>
      </c>
      <c r="J363" s="39">
        <f t="shared" si="36"/>
        <v>0</v>
      </c>
    </row>
    <row r="364" spans="6:10" x14ac:dyDescent="0.2">
      <c r="F364" s="47" t="s">
        <v>42</v>
      </c>
      <c r="G364" s="47" t="s">
        <v>174</v>
      </c>
      <c r="H364" s="39">
        <v>0</v>
      </c>
      <c r="I364" s="39">
        <f t="shared" si="35"/>
        <v>0</v>
      </c>
      <c r="J364" s="39">
        <f t="shared" si="36"/>
        <v>0</v>
      </c>
    </row>
    <row r="365" spans="6:10" x14ac:dyDescent="0.2">
      <c r="F365" s="67" t="s">
        <v>38</v>
      </c>
      <c r="G365" s="37" t="s">
        <v>175</v>
      </c>
      <c r="H365" s="39">
        <v>0</v>
      </c>
      <c r="I365" s="39">
        <f t="shared" si="35"/>
        <v>0</v>
      </c>
      <c r="J365" s="39">
        <f t="shared" si="36"/>
        <v>0</v>
      </c>
    </row>
    <row r="366" spans="6:10" x14ac:dyDescent="0.2">
      <c r="F366" s="47" t="s">
        <v>26</v>
      </c>
      <c r="G366" s="47" t="s">
        <v>177</v>
      </c>
      <c r="H366" s="39">
        <v>0</v>
      </c>
      <c r="I366" s="39">
        <f t="shared" si="35"/>
        <v>0</v>
      </c>
      <c r="J366" s="39">
        <f t="shared" si="36"/>
        <v>0</v>
      </c>
    </row>
    <row r="367" spans="6:10" x14ac:dyDescent="0.2">
      <c r="F367" s="47" t="s">
        <v>33</v>
      </c>
      <c r="G367" s="47" t="s">
        <v>178</v>
      </c>
      <c r="H367" s="39">
        <v>0</v>
      </c>
      <c r="I367" s="39">
        <f t="shared" si="35"/>
        <v>0</v>
      </c>
      <c r="J367" s="39">
        <f t="shared" si="36"/>
        <v>0</v>
      </c>
    </row>
    <row r="368" spans="6:10" x14ac:dyDescent="0.2">
      <c r="F368" s="47" t="s">
        <v>39</v>
      </c>
      <c r="G368" s="47" t="s">
        <v>180</v>
      </c>
      <c r="H368" s="39">
        <v>0</v>
      </c>
      <c r="I368" s="39">
        <f t="shared" si="35"/>
        <v>0</v>
      </c>
      <c r="J368" s="39">
        <f t="shared" si="36"/>
        <v>0</v>
      </c>
    </row>
    <row r="369" spans="6:10" x14ac:dyDescent="0.2">
      <c r="F369" s="47" t="s">
        <v>40</v>
      </c>
      <c r="G369" s="47" t="s">
        <v>182</v>
      </c>
      <c r="H369" s="39">
        <v>0</v>
      </c>
      <c r="I369" s="39">
        <f t="shared" si="35"/>
        <v>0</v>
      </c>
      <c r="J369" s="39">
        <f t="shared" si="36"/>
        <v>0</v>
      </c>
    </row>
    <row r="370" spans="6:10" x14ac:dyDescent="0.2">
      <c r="F370" s="67" t="s">
        <v>43</v>
      </c>
      <c r="G370" s="47" t="s">
        <v>184</v>
      </c>
      <c r="H370" s="39">
        <v>1.68</v>
      </c>
      <c r="I370" s="39">
        <f t="shared" si="35"/>
        <v>8.4000000000000012E-3</v>
      </c>
      <c r="J370" s="39">
        <f t="shared" si="36"/>
        <v>0.16800000000000001</v>
      </c>
    </row>
    <row r="371" spans="6:10" x14ac:dyDescent="0.2">
      <c r="F371" s="68" t="s">
        <v>186</v>
      </c>
      <c r="G371" s="68" t="s">
        <v>187</v>
      </c>
      <c r="H371" s="66">
        <v>0</v>
      </c>
      <c r="I371" s="39">
        <f t="shared" si="35"/>
        <v>0</v>
      </c>
      <c r="J371" s="39">
        <f t="shared" si="36"/>
        <v>0</v>
      </c>
    </row>
    <row r="372" spans="6:10" x14ac:dyDescent="0.2">
      <c r="F372" s="47" t="s">
        <v>44</v>
      </c>
      <c r="G372" s="47" t="s">
        <v>188</v>
      </c>
      <c r="H372" s="39">
        <v>0</v>
      </c>
      <c r="I372" s="39">
        <f t="shared" si="35"/>
        <v>0</v>
      </c>
      <c r="J372" s="39">
        <f t="shared" si="36"/>
        <v>0</v>
      </c>
    </row>
    <row r="373" spans="6:10" x14ac:dyDescent="0.2">
      <c r="F373" s="68" t="s">
        <v>164</v>
      </c>
      <c r="G373" s="68" t="s">
        <v>189</v>
      </c>
      <c r="H373" s="66">
        <v>0</v>
      </c>
      <c r="I373" s="39">
        <f t="shared" si="35"/>
        <v>0</v>
      </c>
      <c r="J373" s="39">
        <f t="shared" si="36"/>
        <v>0</v>
      </c>
    </row>
    <row r="374" spans="6:10" x14ac:dyDescent="0.2">
      <c r="F374" s="47" t="s">
        <v>166</v>
      </c>
      <c r="G374" s="47" t="s">
        <v>190</v>
      </c>
      <c r="H374" s="39">
        <v>0</v>
      </c>
      <c r="I374" s="39">
        <f t="shared" si="35"/>
        <v>0</v>
      </c>
      <c r="J374" s="39">
        <f t="shared" si="36"/>
        <v>0</v>
      </c>
    </row>
    <row r="375" spans="6:10" x14ac:dyDescent="0.2">
      <c r="F375" s="47" t="s">
        <v>34</v>
      </c>
      <c r="G375" s="47" t="s">
        <v>191</v>
      </c>
      <c r="H375" s="39">
        <v>0</v>
      </c>
      <c r="I375" s="39">
        <f t="shared" si="35"/>
        <v>0</v>
      </c>
      <c r="J375" s="39">
        <f t="shared" si="36"/>
        <v>0</v>
      </c>
    </row>
    <row r="376" spans="6:10" x14ac:dyDescent="0.2">
      <c r="F376" s="47" t="s">
        <v>27</v>
      </c>
      <c r="G376" s="47" t="s">
        <v>192</v>
      </c>
      <c r="H376" s="39">
        <v>0</v>
      </c>
      <c r="I376" s="39">
        <f t="shared" si="35"/>
        <v>0</v>
      </c>
      <c r="J376" s="39">
        <f t="shared" si="36"/>
        <v>0</v>
      </c>
    </row>
    <row r="377" spans="6:10" x14ac:dyDescent="0.2">
      <c r="F377" s="47" t="s">
        <v>45</v>
      </c>
      <c r="G377" s="47" t="s">
        <v>193</v>
      </c>
      <c r="H377" s="39">
        <v>11.8</v>
      </c>
      <c r="I377" s="39">
        <f t="shared" si="35"/>
        <v>5.8999999999999997E-2</v>
      </c>
      <c r="J377" s="39">
        <f t="shared" si="36"/>
        <v>1.18</v>
      </c>
    </row>
    <row r="378" spans="6:10" x14ac:dyDescent="0.2">
      <c r="F378" s="47" t="s">
        <v>169</v>
      </c>
      <c r="G378" s="47" t="s">
        <v>194</v>
      </c>
      <c r="H378" s="39">
        <v>0</v>
      </c>
      <c r="I378" s="39">
        <f t="shared" si="35"/>
        <v>0</v>
      </c>
      <c r="J378" s="39">
        <f t="shared" si="36"/>
        <v>0</v>
      </c>
    </row>
    <row r="379" spans="6:10" x14ac:dyDescent="0.2">
      <c r="F379" s="47" t="s">
        <v>35</v>
      </c>
      <c r="G379" s="47" t="s">
        <v>196</v>
      </c>
      <c r="H379" s="39">
        <v>0</v>
      </c>
      <c r="I379" s="39">
        <f t="shared" si="35"/>
        <v>0</v>
      </c>
      <c r="J379" s="39">
        <f t="shared" si="36"/>
        <v>0</v>
      </c>
    </row>
    <row r="380" spans="6:10" x14ac:dyDescent="0.2">
      <c r="H380" s="39" t="s">
        <v>221</v>
      </c>
      <c r="I380" s="39">
        <f>SUM(I346:I379)</f>
        <v>0.19024999999999997</v>
      </c>
    </row>
    <row r="382" spans="6:10" ht="16" x14ac:dyDescent="0.2">
      <c r="F382" s="89"/>
      <c r="G382" s="89"/>
      <c r="H382" s="41">
        <v>587</v>
      </c>
      <c r="I382" s="89"/>
      <c r="J382" s="89"/>
    </row>
    <row r="383" spans="6:10" x14ac:dyDescent="0.2">
      <c r="F383" s="47" t="s">
        <v>216</v>
      </c>
      <c r="G383" s="47" t="s">
        <v>217</v>
      </c>
      <c r="H383" s="39" t="s">
        <v>218</v>
      </c>
      <c r="I383" s="39" t="s">
        <v>219</v>
      </c>
      <c r="J383" s="39" t="s">
        <v>220</v>
      </c>
    </row>
    <row r="384" spans="6:10" x14ac:dyDescent="0.2">
      <c r="F384" s="47" t="s">
        <v>147</v>
      </c>
      <c r="G384" s="47" t="s">
        <v>148</v>
      </c>
      <c r="H384" s="39">
        <v>0</v>
      </c>
      <c r="I384" s="39">
        <f t="shared" ref="I384:I417" si="37">(H384*5)/1000</f>
        <v>0</v>
      </c>
      <c r="J384" s="39">
        <f t="shared" ref="J384:J417" si="38">I384/$C$13</f>
        <v>0</v>
      </c>
    </row>
    <row r="385" spans="6:10" x14ac:dyDescent="0.2">
      <c r="F385" s="47" t="s">
        <v>18</v>
      </c>
      <c r="G385" s="63" t="s">
        <v>149</v>
      </c>
      <c r="H385" s="39">
        <v>0</v>
      </c>
      <c r="I385" s="39">
        <f t="shared" si="37"/>
        <v>0</v>
      </c>
      <c r="J385" s="39">
        <f t="shared" si="38"/>
        <v>0</v>
      </c>
    </row>
    <row r="386" spans="6:10" x14ac:dyDescent="0.2">
      <c r="F386" s="47" t="s">
        <v>150</v>
      </c>
      <c r="G386" s="63" t="s">
        <v>151</v>
      </c>
      <c r="H386" s="39">
        <v>0</v>
      </c>
      <c r="I386" s="39">
        <f t="shared" si="37"/>
        <v>0</v>
      </c>
      <c r="J386" s="39">
        <f t="shared" si="38"/>
        <v>0</v>
      </c>
    </row>
    <row r="387" spans="6:10" x14ac:dyDescent="0.2">
      <c r="F387" s="47" t="s">
        <v>152</v>
      </c>
      <c r="G387" s="63" t="s">
        <v>153</v>
      </c>
      <c r="H387" s="39">
        <v>0</v>
      </c>
      <c r="I387" s="39">
        <f t="shared" si="37"/>
        <v>0</v>
      </c>
      <c r="J387" s="39">
        <f t="shared" si="38"/>
        <v>0</v>
      </c>
    </row>
    <row r="388" spans="6:10" x14ac:dyDescent="0.2">
      <c r="F388" s="47" t="s">
        <v>19</v>
      </c>
      <c r="G388" s="63" t="s">
        <v>154</v>
      </c>
      <c r="H388" s="39">
        <v>0</v>
      </c>
      <c r="I388" s="39">
        <f t="shared" si="37"/>
        <v>0</v>
      </c>
      <c r="J388" s="39">
        <f t="shared" si="38"/>
        <v>0</v>
      </c>
    </row>
    <row r="389" spans="6:10" x14ac:dyDescent="0.2">
      <c r="F389" s="67" t="s">
        <v>20</v>
      </c>
      <c r="G389" s="65" t="s">
        <v>155</v>
      </c>
      <c r="H389" s="39">
        <v>0</v>
      </c>
      <c r="I389" s="39">
        <f t="shared" si="37"/>
        <v>0</v>
      </c>
      <c r="J389" s="39">
        <f t="shared" si="38"/>
        <v>0</v>
      </c>
    </row>
    <row r="390" spans="6:10" x14ac:dyDescent="0.2">
      <c r="F390" s="47" t="s">
        <v>21</v>
      </c>
      <c r="G390" s="63" t="s">
        <v>156</v>
      </c>
      <c r="H390" s="39">
        <v>0</v>
      </c>
      <c r="I390" s="39">
        <f t="shared" si="37"/>
        <v>0</v>
      </c>
      <c r="J390" s="39">
        <f t="shared" si="38"/>
        <v>0</v>
      </c>
    </row>
    <row r="391" spans="6:10" x14ac:dyDescent="0.2">
      <c r="F391" s="47" t="s">
        <v>29</v>
      </c>
      <c r="G391" s="63" t="s">
        <v>157</v>
      </c>
      <c r="H391" s="39">
        <v>0</v>
      </c>
      <c r="I391" s="39">
        <f t="shared" si="37"/>
        <v>0</v>
      </c>
      <c r="J391" s="39">
        <f t="shared" si="38"/>
        <v>0</v>
      </c>
    </row>
    <row r="392" spans="6:10" x14ac:dyDescent="0.2">
      <c r="F392" s="47" t="s">
        <v>22</v>
      </c>
      <c r="G392" s="63" t="s">
        <v>158</v>
      </c>
      <c r="H392" s="39">
        <v>0</v>
      </c>
      <c r="I392" s="39">
        <f t="shared" si="37"/>
        <v>0</v>
      </c>
      <c r="J392" s="39">
        <f t="shared" si="38"/>
        <v>0</v>
      </c>
    </row>
    <row r="393" spans="6:10" x14ac:dyDescent="0.2">
      <c r="F393" s="47" t="s">
        <v>159</v>
      </c>
      <c r="G393" s="47" t="s">
        <v>160</v>
      </c>
      <c r="H393" s="39">
        <v>0</v>
      </c>
      <c r="I393" s="39">
        <f t="shared" si="37"/>
        <v>0</v>
      </c>
      <c r="J393" s="39">
        <f t="shared" si="38"/>
        <v>0</v>
      </c>
    </row>
    <row r="394" spans="6:10" x14ac:dyDescent="0.2">
      <c r="F394" s="47" t="s">
        <v>23</v>
      </c>
      <c r="G394" s="47" t="s">
        <v>161</v>
      </c>
      <c r="H394" s="39">
        <v>3.24</v>
      </c>
      <c r="I394" s="39">
        <f t="shared" si="37"/>
        <v>1.6200000000000003E-2</v>
      </c>
      <c r="J394" s="39">
        <f t="shared" si="38"/>
        <v>0.32400000000000001</v>
      </c>
    </row>
    <row r="395" spans="6:10" x14ac:dyDescent="0.2">
      <c r="F395" s="47" t="s">
        <v>30</v>
      </c>
      <c r="G395" s="47" t="s">
        <v>162</v>
      </c>
      <c r="H395" s="39">
        <v>0</v>
      </c>
      <c r="I395" s="39">
        <f t="shared" si="37"/>
        <v>0</v>
      </c>
      <c r="J395" s="39">
        <f t="shared" si="38"/>
        <v>0</v>
      </c>
    </row>
    <row r="396" spans="6:10" x14ac:dyDescent="0.2">
      <c r="F396" s="47" t="s">
        <v>24</v>
      </c>
      <c r="G396" s="47" t="s">
        <v>163</v>
      </c>
      <c r="H396" s="39">
        <v>0</v>
      </c>
      <c r="I396" s="39">
        <f t="shared" si="37"/>
        <v>0</v>
      </c>
      <c r="J396" s="39">
        <f t="shared" si="38"/>
        <v>0</v>
      </c>
    </row>
    <row r="397" spans="6:10" x14ac:dyDescent="0.2">
      <c r="F397" s="47" t="s">
        <v>31</v>
      </c>
      <c r="G397" s="47" t="s">
        <v>165</v>
      </c>
      <c r="H397" s="39">
        <v>0</v>
      </c>
      <c r="I397" s="39">
        <f t="shared" si="37"/>
        <v>0</v>
      </c>
      <c r="J397" s="39">
        <f t="shared" si="38"/>
        <v>0</v>
      </c>
    </row>
    <row r="398" spans="6:10" x14ac:dyDescent="0.2">
      <c r="F398" s="47" t="s">
        <v>25</v>
      </c>
      <c r="G398" s="47" t="s">
        <v>167</v>
      </c>
      <c r="H398" s="39">
        <v>2.25</v>
      </c>
      <c r="I398" s="39">
        <f t="shared" si="37"/>
        <v>1.125E-2</v>
      </c>
      <c r="J398" s="39">
        <f t="shared" si="38"/>
        <v>0.22499999999999998</v>
      </c>
    </row>
    <row r="399" spans="6:10" x14ac:dyDescent="0.2">
      <c r="F399" s="47" t="s">
        <v>32</v>
      </c>
      <c r="G399" s="47" t="s">
        <v>168</v>
      </c>
      <c r="H399" s="39">
        <v>1.55</v>
      </c>
      <c r="I399" s="39">
        <f t="shared" si="37"/>
        <v>7.7499999999999999E-3</v>
      </c>
      <c r="J399" s="39">
        <f t="shared" si="38"/>
        <v>0.155</v>
      </c>
    </row>
    <row r="400" spans="6:10" x14ac:dyDescent="0.2">
      <c r="F400" s="47" t="s">
        <v>37</v>
      </c>
      <c r="G400" s="47" t="s">
        <v>170</v>
      </c>
      <c r="H400" s="39">
        <v>0</v>
      </c>
      <c r="I400" s="39">
        <f t="shared" si="37"/>
        <v>0</v>
      </c>
      <c r="J400" s="39">
        <f t="shared" si="38"/>
        <v>0</v>
      </c>
    </row>
    <row r="401" spans="6:10" x14ac:dyDescent="0.2">
      <c r="F401" s="47" t="s">
        <v>171</v>
      </c>
      <c r="G401" s="47" t="s">
        <v>172</v>
      </c>
      <c r="H401" s="39">
        <v>0</v>
      </c>
      <c r="I401" s="39">
        <f t="shared" si="37"/>
        <v>0</v>
      </c>
      <c r="J401" s="39">
        <f t="shared" si="38"/>
        <v>0</v>
      </c>
    </row>
    <row r="402" spans="6:10" x14ac:dyDescent="0.2">
      <c r="F402" s="47" t="s">
        <v>42</v>
      </c>
      <c r="G402" s="47" t="s">
        <v>174</v>
      </c>
      <c r="H402" s="39">
        <v>0</v>
      </c>
      <c r="I402" s="39">
        <f t="shared" si="37"/>
        <v>0</v>
      </c>
      <c r="J402" s="39">
        <f t="shared" si="38"/>
        <v>0</v>
      </c>
    </row>
    <row r="403" spans="6:10" x14ac:dyDescent="0.2">
      <c r="F403" s="47" t="s">
        <v>38</v>
      </c>
      <c r="G403" s="37" t="s">
        <v>175</v>
      </c>
      <c r="H403" s="39">
        <v>0</v>
      </c>
      <c r="I403" s="39">
        <f t="shared" si="37"/>
        <v>0</v>
      </c>
      <c r="J403" s="39">
        <f t="shared" si="38"/>
        <v>0</v>
      </c>
    </row>
    <row r="404" spans="6:10" x14ac:dyDescent="0.2">
      <c r="F404" s="47" t="s">
        <v>26</v>
      </c>
      <c r="G404" s="47" t="s">
        <v>177</v>
      </c>
      <c r="H404" s="39">
        <v>0</v>
      </c>
      <c r="I404" s="39">
        <f t="shared" si="37"/>
        <v>0</v>
      </c>
      <c r="J404" s="39">
        <f t="shared" si="38"/>
        <v>0</v>
      </c>
    </row>
    <row r="405" spans="6:10" x14ac:dyDescent="0.2">
      <c r="F405" s="47" t="s">
        <v>33</v>
      </c>
      <c r="G405" s="47" t="s">
        <v>178</v>
      </c>
      <c r="H405" s="39">
        <v>0</v>
      </c>
      <c r="I405" s="39">
        <f t="shared" si="37"/>
        <v>0</v>
      </c>
      <c r="J405" s="39">
        <f t="shared" si="38"/>
        <v>0</v>
      </c>
    </row>
    <row r="406" spans="6:10" x14ac:dyDescent="0.2">
      <c r="F406" s="47" t="s">
        <v>39</v>
      </c>
      <c r="G406" s="47" t="s">
        <v>180</v>
      </c>
      <c r="H406" s="39">
        <v>0</v>
      </c>
      <c r="I406" s="39">
        <f t="shared" si="37"/>
        <v>0</v>
      </c>
      <c r="J406" s="39">
        <f t="shared" si="38"/>
        <v>0</v>
      </c>
    </row>
    <row r="407" spans="6:10" x14ac:dyDescent="0.2">
      <c r="F407" s="47" t="s">
        <v>40</v>
      </c>
      <c r="G407" s="47" t="s">
        <v>182</v>
      </c>
      <c r="H407" s="39">
        <v>0</v>
      </c>
      <c r="I407" s="39">
        <f t="shared" si="37"/>
        <v>0</v>
      </c>
      <c r="J407" s="39">
        <f t="shared" si="38"/>
        <v>0</v>
      </c>
    </row>
    <row r="408" spans="6:10" x14ac:dyDescent="0.2">
      <c r="F408" s="47" t="s">
        <v>43</v>
      </c>
      <c r="G408" s="47" t="s">
        <v>184</v>
      </c>
      <c r="H408" s="39">
        <v>0</v>
      </c>
      <c r="I408" s="39">
        <f t="shared" si="37"/>
        <v>0</v>
      </c>
      <c r="J408" s="39">
        <f t="shared" si="38"/>
        <v>0</v>
      </c>
    </row>
    <row r="409" spans="6:10" x14ac:dyDescent="0.2">
      <c r="F409" s="68" t="s">
        <v>186</v>
      </c>
      <c r="G409" s="68" t="s">
        <v>187</v>
      </c>
      <c r="H409" s="66">
        <v>0</v>
      </c>
      <c r="I409" s="39">
        <f t="shared" si="37"/>
        <v>0</v>
      </c>
      <c r="J409" s="39">
        <f t="shared" si="38"/>
        <v>0</v>
      </c>
    </row>
    <row r="410" spans="6:10" x14ac:dyDescent="0.2">
      <c r="F410" s="47" t="s">
        <v>44</v>
      </c>
      <c r="G410" s="47" t="s">
        <v>188</v>
      </c>
      <c r="H410" s="39">
        <v>0</v>
      </c>
      <c r="I410" s="39">
        <f t="shared" si="37"/>
        <v>0</v>
      </c>
      <c r="J410" s="39">
        <f t="shared" si="38"/>
        <v>0</v>
      </c>
    </row>
    <row r="411" spans="6:10" x14ac:dyDescent="0.2">
      <c r="F411" s="68" t="s">
        <v>164</v>
      </c>
      <c r="G411" s="68" t="s">
        <v>189</v>
      </c>
      <c r="H411" s="66">
        <v>0</v>
      </c>
      <c r="I411" s="39">
        <f t="shared" si="37"/>
        <v>0</v>
      </c>
      <c r="J411" s="39">
        <f t="shared" si="38"/>
        <v>0</v>
      </c>
    </row>
    <row r="412" spans="6:10" x14ac:dyDescent="0.2">
      <c r="F412" s="47" t="s">
        <v>166</v>
      </c>
      <c r="G412" s="47" t="s">
        <v>190</v>
      </c>
      <c r="H412" s="39">
        <v>0</v>
      </c>
      <c r="I412" s="39">
        <f t="shared" si="37"/>
        <v>0</v>
      </c>
      <c r="J412" s="39">
        <f t="shared" si="38"/>
        <v>0</v>
      </c>
    </row>
    <row r="413" spans="6:10" x14ac:dyDescent="0.2">
      <c r="F413" s="47" t="s">
        <v>34</v>
      </c>
      <c r="G413" s="47" t="s">
        <v>191</v>
      </c>
      <c r="H413" s="39">
        <v>0</v>
      </c>
      <c r="I413" s="39">
        <f t="shared" si="37"/>
        <v>0</v>
      </c>
      <c r="J413" s="39">
        <f t="shared" si="38"/>
        <v>0</v>
      </c>
    </row>
    <row r="414" spans="6:10" x14ac:dyDescent="0.2">
      <c r="F414" s="47" t="s">
        <v>27</v>
      </c>
      <c r="G414" s="47" t="s">
        <v>192</v>
      </c>
      <c r="H414" s="39">
        <v>0</v>
      </c>
      <c r="I414" s="39">
        <f t="shared" si="37"/>
        <v>0</v>
      </c>
      <c r="J414" s="39">
        <f t="shared" si="38"/>
        <v>0</v>
      </c>
    </row>
    <row r="415" spans="6:10" x14ac:dyDescent="0.2">
      <c r="F415" s="47" t="s">
        <v>45</v>
      </c>
      <c r="G415" s="47" t="s">
        <v>193</v>
      </c>
      <c r="H415" s="39">
        <v>0</v>
      </c>
      <c r="I415" s="39">
        <f t="shared" si="37"/>
        <v>0</v>
      </c>
      <c r="J415" s="39">
        <f t="shared" si="38"/>
        <v>0</v>
      </c>
    </row>
    <row r="416" spans="6:10" x14ac:dyDescent="0.2">
      <c r="F416" s="47" t="s">
        <v>169</v>
      </c>
      <c r="G416" s="47" t="s">
        <v>194</v>
      </c>
      <c r="H416" s="39">
        <v>0</v>
      </c>
      <c r="I416" s="39">
        <f t="shared" si="37"/>
        <v>0</v>
      </c>
      <c r="J416" s="39">
        <f t="shared" si="38"/>
        <v>0</v>
      </c>
    </row>
    <row r="417" spans="6:10" x14ac:dyDescent="0.2">
      <c r="F417" s="47" t="s">
        <v>35</v>
      </c>
      <c r="G417" s="47" t="s">
        <v>196</v>
      </c>
      <c r="H417" s="39">
        <v>0</v>
      </c>
      <c r="I417" s="39">
        <f t="shared" si="37"/>
        <v>0</v>
      </c>
      <c r="J417" s="39">
        <f t="shared" si="38"/>
        <v>0</v>
      </c>
    </row>
    <row r="418" spans="6:10" x14ac:dyDescent="0.2">
      <c r="H418" s="39" t="s">
        <v>221</v>
      </c>
      <c r="I418" s="39">
        <f>SUM(I384:I417)</f>
        <v>3.5200000000000002E-2</v>
      </c>
    </row>
    <row r="420" spans="6:10" x14ac:dyDescent="0.2">
      <c r="F420" s="40"/>
      <c r="G420" s="40"/>
      <c r="H420" s="82">
        <v>558</v>
      </c>
      <c r="I420" s="40"/>
      <c r="J420" s="40"/>
    </row>
    <row r="421" spans="6:10" x14ac:dyDescent="0.2">
      <c r="F421" s="47" t="s">
        <v>216</v>
      </c>
      <c r="G421" s="47" t="s">
        <v>217</v>
      </c>
      <c r="H421" s="39" t="s">
        <v>218</v>
      </c>
      <c r="I421" s="39" t="s">
        <v>219</v>
      </c>
      <c r="J421" s="39" t="s">
        <v>220</v>
      </c>
    </row>
    <row r="422" spans="6:10" x14ac:dyDescent="0.2">
      <c r="F422" s="47" t="s">
        <v>147</v>
      </c>
      <c r="G422" s="47" t="s">
        <v>148</v>
      </c>
      <c r="H422" s="39">
        <v>0</v>
      </c>
      <c r="I422" s="39">
        <f t="shared" ref="I422:I455" si="39">(H422*5)/1000</f>
        <v>0</v>
      </c>
      <c r="J422" s="39">
        <f t="shared" ref="J422:J455" si="40">I422/$C$14</f>
        <v>0</v>
      </c>
    </row>
    <row r="423" spans="6:10" x14ac:dyDescent="0.2">
      <c r="F423" s="47" t="s">
        <v>18</v>
      </c>
      <c r="G423" s="63" t="s">
        <v>149</v>
      </c>
      <c r="H423" s="39">
        <v>0</v>
      </c>
      <c r="I423" s="39">
        <f t="shared" si="39"/>
        <v>0</v>
      </c>
      <c r="J423" s="39">
        <f t="shared" si="40"/>
        <v>0</v>
      </c>
    </row>
    <row r="424" spans="6:10" x14ac:dyDescent="0.2">
      <c r="F424" s="47" t="s">
        <v>150</v>
      </c>
      <c r="G424" s="63" t="s">
        <v>151</v>
      </c>
      <c r="H424" s="39">
        <v>0</v>
      </c>
      <c r="I424" s="39">
        <f t="shared" si="39"/>
        <v>0</v>
      </c>
      <c r="J424" s="39">
        <f t="shared" si="40"/>
        <v>0</v>
      </c>
    </row>
    <row r="425" spans="6:10" x14ac:dyDescent="0.2">
      <c r="F425" s="47" t="s">
        <v>152</v>
      </c>
      <c r="G425" s="63" t="s">
        <v>153</v>
      </c>
      <c r="H425" s="39">
        <v>0</v>
      </c>
      <c r="I425" s="39">
        <f t="shared" si="39"/>
        <v>0</v>
      </c>
      <c r="J425" s="39">
        <f t="shared" si="40"/>
        <v>0</v>
      </c>
    </row>
    <row r="426" spans="6:10" x14ac:dyDescent="0.2">
      <c r="F426" s="47" t="s">
        <v>19</v>
      </c>
      <c r="G426" s="63" t="s">
        <v>154</v>
      </c>
      <c r="H426" s="39">
        <v>0</v>
      </c>
      <c r="I426" s="39">
        <f t="shared" si="39"/>
        <v>0</v>
      </c>
      <c r="J426" s="39">
        <f t="shared" si="40"/>
        <v>0</v>
      </c>
    </row>
    <row r="427" spans="6:10" x14ac:dyDescent="0.2">
      <c r="F427" s="68" t="s">
        <v>20</v>
      </c>
      <c r="G427" s="65" t="s">
        <v>155</v>
      </c>
      <c r="H427" s="66">
        <v>0</v>
      </c>
      <c r="I427" s="39">
        <f t="shared" si="39"/>
        <v>0</v>
      </c>
      <c r="J427" s="39">
        <f t="shared" si="40"/>
        <v>0</v>
      </c>
    </row>
    <row r="428" spans="6:10" x14ac:dyDescent="0.2">
      <c r="F428" s="47" t="s">
        <v>21</v>
      </c>
      <c r="G428" s="63" t="s">
        <v>156</v>
      </c>
      <c r="H428" s="39">
        <v>0.96</v>
      </c>
      <c r="I428" s="39">
        <f t="shared" si="39"/>
        <v>4.7999999999999996E-3</v>
      </c>
      <c r="J428" s="39">
        <f t="shared" si="40"/>
        <v>9.5999999999999794E-2</v>
      </c>
    </row>
    <row r="429" spans="6:10" x14ac:dyDescent="0.2">
      <c r="F429" s="47" t="s">
        <v>29</v>
      </c>
      <c r="G429" s="63" t="s">
        <v>157</v>
      </c>
      <c r="H429" s="39">
        <v>0</v>
      </c>
      <c r="I429" s="39">
        <f t="shared" si="39"/>
        <v>0</v>
      </c>
      <c r="J429" s="39">
        <f t="shared" si="40"/>
        <v>0</v>
      </c>
    </row>
    <row r="430" spans="6:10" x14ac:dyDescent="0.2">
      <c r="F430" s="47" t="s">
        <v>22</v>
      </c>
      <c r="G430" s="63" t="s">
        <v>158</v>
      </c>
      <c r="H430" s="39">
        <v>0</v>
      </c>
      <c r="I430" s="39">
        <f t="shared" si="39"/>
        <v>0</v>
      </c>
      <c r="J430" s="39">
        <f t="shared" si="40"/>
        <v>0</v>
      </c>
    </row>
    <row r="431" spans="6:10" x14ac:dyDescent="0.2">
      <c r="F431" s="47" t="s">
        <v>159</v>
      </c>
      <c r="G431" s="47" t="s">
        <v>160</v>
      </c>
      <c r="H431" s="39">
        <v>0</v>
      </c>
      <c r="I431" s="39">
        <f t="shared" si="39"/>
        <v>0</v>
      </c>
      <c r="J431" s="39">
        <f t="shared" si="40"/>
        <v>0</v>
      </c>
    </row>
    <row r="432" spans="6:10" x14ac:dyDescent="0.2">
      <c r="F432" s="47" t="s">
        <v>23</v>
      </c>
      <c r="G432" s="47" t="s">
        <v>161</v>
      </c>
      <c r="H432" s="39">
        <v>11.86</v>
      </c>
      <c r="I432" s="39">
        <f t="shared" si="39"/>
        <v>5.9299999999999999E-2</v>
      </c>
      <c r="J432" s="39">
        <f t="shared" si="40"/>
        <v>1.1859999999999975</v>
      </c>
    </row>
    <row r="433" spans="6:10" x14ac:dyDescent="0.2">
      <c r="F433" s="47" t="s">
        <v>30</v>
      </c>
      <c r="G433" s="47" t="s">
        <v>162</v>
      </c>
      <c r="H433" s="39">
        <v>3.5</v>
      </c>
      <c r="I433" s="39">
        <f t="shared" si="39"/>
        <v>1.7500000000000002E-2</v>
      </c>
      <c r="J433" s="39">
        <f t="shared" si="40"/>
        <v>0.34999999999999931</v>
      </c>
    </row>
    <row r="434" spans="6:10" x14ac:dyDescent="0.2">
      <c r="F434" s="47" t="s">
        <v>24</v>
      </c>
      <c r="G434" s="47" t="s">
        <v>163</v>
      </c>
      <c r="H434" s="39">
        <v>0</v>
      </c>
      <c r="I434" s="39">
        <f t="shared" si="39"/>
        <v>0</v>
      </c>
      <c r="J434" s="39">
        <f t="shared" si="40"/>
        <v>0</v>
      </c>
    </row>
    <row r="435" spans="6:10" x14ac:dyDescent="0.2">
      <c r="F435" s="47" t="s">
        <v>31</v>
      </c>
      <c r="G435" s="47" t="s">
        <v>165</v>
      </c>
      <c r="H435" s="39">
        <v>0</v>
      </c>
      <c r="I435" s="39">
        <f t="shared" si="39"/>
        <v>0</v>
      </c>
      <c r="J435" s="39">
        <f t="shared" si="40"/>
        <v>0</v>
      </c>
    </row>
    <row r="436" spans="6:10" x14ac:dyDescent="0.2">
      <c r="F436" s="47" t="s">
        <v>25</v>
      </c>
      <c r="G436" s="47" t="s">
        <v>167</v>
      </c>
      <c r="H436" s="39">
        <v>6.46</v>
      </c>
      <c r="I436" s="39">
        <f t="shared" si="39"/>
        <v>3.2299999999999995E-2</v>
      </c>
      <c r="J436" s="39">
        <f t="shared" si="40"/>
        <v>0.64599999999999858</v>
      </c>
    </row>
    <row r="437" spans="6:10" x14ac:dyDescent="0.2">
      <c r="F437" s="47" t="s">
        <v>32</v>
      </c>
      <c r="G437" s="47" t="s">
        <v>168</v>
      </c>
      <c r="H437" s="39">
        <v>7.13</v>
      </c>
      <c r="I437" s="39">
        <f t="shared" si="39"/>
        <v>3.5650000000000001E-2</v>
      </c>
      <c r="J437" s="39">
        <f t="shared" si="40"/>
        <v>0.71299999999999863</v>
      </c>
    </row>
    <row r="438" spans="6:10" x14ac:dyDescent="0.2">
      <c r="F438" s="47" t="s">
        <v>37</v>
      </c>
      <c r="G438" s="47" t="s">
        <v>170</v>
      </c>
      <c r="H438" s="39">
        <v>0</v>
      </c>
      <c r="I438" s="39">
        <f t="shared" si="39"/>
        <v>0</v>
      </c>
      <c r="J438" s="39">
        <f t="shared" si="40"/>
        <v>0</v>
      </c>
    </row>
    <row r="439" spans="6:10" x14ac:dyDescent="0.2">
      <c r="F439" s="47" t="s">
        <v>171</v>
      </c>
      <c r="G439" s="47" t="s">
        <v>172</v>
      </c>
      <c r="H439" s="39">
        <v>0</v>
      </c>
      <c r="I439" s="39">
        <f t="shared" si="39"/>
        <v>0</v>
      </c>
      <c r="J439" s="39">
        <f t="shared" si="40"/>
        <v>0</v>
      </c>
    </row>
    <row r="440" spans="6:10" x14ac:dyDescent="0.2">
      <c r="F440" s="47" t="s">
        <v>42</v>
      </c>
      <c r="G440" s="47" t="s">
        <v>174</v>
      </c>
      <c r="H440" s="39">
        <v>0</v>
      </c>
      <c r="I440" s="39">
        <f t="shared" si="39"/>
        <v>0</v>
      </c>
      <c r="J440" s="39">
        <f t="shared" si="40"/>
        <v>0</v>
      </c>
    </row>
    <row r="441" spans="6:10" x14ac:dyDescent="0.2">
      <c r="F441" s="47" t="s">
        <v>38</v>
      </c>
      <c r="G441" s="37" t="s">
        <v>175</v>
      </c>
      <c r="H441" s="39">
        <v>0</v>
      </c>
      <c r="I441" s="39">
        <f t="shared" si="39"/>
        <v>0</v>
      </c>
      <c r="J441" s="39">
        <f t="shared" si="40"/>
        <v>0</v>
      </c>
    </row>
    <row r="442" spans="6:10" x14ac:dyDescent="0.2">
      <c r="F442" s="47" t="s">
        <v>26</v>
      </c>
      <c r="G442" s="47" t="s">
        <v>177</v>
      </c>
      <c r="H442" s="39">
        <v>0</v>
      </c>
      <c r="I442" s="39">
        <f t="shared" si="39"/>
        <v>0</v>
      </c>
      <c r="J442" s="39">
        <f t="shared" si="40"/>
        <v>0</v>
      </c>
    </row>
    <row r="443" spans="6:10" x14ac:dyDescent="0.2">
      <c r="F443" s="47" t="s">
        <v>33</v>
      </c>
      <c r="G443" s="47" t="s">
        <v>178</v>
      </c>
      <c r="H443" s="39">
        <v>0</v>
      </c>
      <c r="I443" s="39">
        <f t="shared" si="39"/>
        <v>0</v>
      </c>
      <c r="J443" s="39">
        <f t="shared" si="40"/>
        <v>0</v>
      </c>
    </row>
    <row r="444" spans="6:10" x14ac:dyDescent="0.2">
      <c r="F444" s="47" t="s">
        <v>39</v>
      </c>
      <c r="G444" s="47" t="s">
        <v>180</v>
      </c>
      <c r="H444" s="39">
        <v>0</v>
      </c>
      <c r="I444" s="39">
        <f t="shared" si="39"/>
        <v>0</v>
      </c>
      <c r="J444" s="39">
        <f t="shared" si="40"/>
        <v>0</v>
      </c>
    </row>
    <row r="445" spans="6:10" x14ac:dyDescent="0.2">
      <c r="F445" s="47" t="s">
        <v>40</v>
      </c>
      <c r="G445" s="47" t="s">
        <v>182</v>
      </c>
      <c r="H445" s="39">
        <v>0</v>
      </c>
      <c r="I445" s="39">
        <f t="shared" si="39"/>
        <v>0</v>
      </c>
      <c r="J445" s="39">
        <f t="shared" si="40"/>
        <v>0</v>
      </c>
    </row>
    <row r="446" spans="6:10" x14ac:dyDescent="0.2">
      <c r="F446" s="68" t="s">
        <v>43</v>
      </c>
      <c r="G446" s="47" t="s">
        <v>184</v>
      </c>
      <c r="H446" s="39">
        <v>2.81</v>
      </c>
      <c r="I446" s="39">
        <f t="shared" si="39"/>
        <v>1.405E-2</v>
      </c>
      <c r="J446" s="39">
        <f t="shared" si="40"/>
        <v>0.28099999999999942</v>
      </c>
    </row>
    <row r="447" spans="6:10" x14ac:dyDescent="0.2">
      <c r="F447" s="68" t="s">
        <v>186</v>
      </c>
      <c r="G447" s="68" t="s">
        <v>187</v>
      </c>
      <c r="H447" s="66">
        <v>0</v>
      </c>
      <c r="I447" s="39">
        <f t="shared" si="39"/>
        <v>0</v>
      </c>
      <c r="J447" s="39">
        <f t="shared" si="40"/>
        <v>0</v>
      </c>
    </row>
    <row r="448" spans="6:10" x14ac:dyDescent="0.2">
      <c r="F448" s="47" t="s">
        <v>44</v>
      </c>
      <c r="G448" s="47" t="s">
        <v>188</v>
      </c>
      <c r="H448" s="39">
        <v>0</v>
      </c>
      <c r="I448" s="39">
        <f t="shared" si="39"/>
        <v>0</v>
      </c>
      <c r="J448" s="39">
        <f t="shared" si="40"/>
        <v>0</v>
      </c>
    </row>
    <row r="449" spans="6:10" x14ac:dyDescent="0.2">
      <c r="F449" s="68" t="s">
        <v>164</v>
      </c>
      <c r="G449" s="68" t="s">
        <v>189</v>
      </c>
      <c r="H449" s="66">
        <v>0</v>
      </c>
      <c r="I449" s="39">
        <f t="shared" si="39"/>
        <v>0</v>
      </c>
      <c r="J449" s="39">
        <f t="shared" si="40"/>
        <v>0</v>
      </c>
    </row>
    <row r="450" spans="6:10" x14ac:dyDescent="0.2">
      <c r="F450" s="47" t="s">
        <v>166</v>
      </c>
      <c r="G450" s="47" t="s">
        <v>190</v>
      </c>
      <c r="H450" s="39">
        <v>0</v>
      </c>
      <c r="I450" s="39">
        <f t="shared" si="39"/>
        <v>0</v>
      </c>
      <c r="J450" s="39">
        <f t="shared" si="40"/>
        <v>0</v>
      </c>
    </row>
    <row r="451" spans="6:10" x14ac:dyDescent="0.2">
      <c r="F451" s="47" t="s">
        <v>34</v>
      </c>
      <c r="G451" s="47" t="s">
        <v>191</v>
      </c>
      <c r="H451" s="39">
        <v>0</v>
      </c>
      <c r="I451" s="39">
        <f t="shared" si="39"/>
        <v>0</v>
      </c>
      <c r="J451" s="39">
        <f t="shared" si="40"/>
        <v>0</v>
      </c>
    </row>
    <row r="452" spans="6:10" x14ac:dyDescent="0.2">
      <c r="F452" s="47" t="s">
        <v>27</v>
      </c>
      <c r="G452" s="47" t="s">
        <v>192</v>
      </c>
      <c r="H452" s="39">
        <v>0</v>
      </c>
      <c r="I452" s="39">
        <f t="shared" si="39"/>
        <v>0</v>
      </c>
      <c r="J452" s="39">
        <f t="shared" si="40"/>
        <v>0</v>
      </c>
    </row>
    <row r="453" spans="6:10" x14ac:dyDescent="0.2">
      <c r="F453" s="47" t="s">
        <v>45</v>
      </c>
      <c r="G453" s="47" t="s">
        <v>193</v>
      </c>
      <c r="H453" s="39">
        <v>9.77</v>
      </c>
      <c r="I453" s="39">
        <f t="shared" si="39"/>
        <v>4.8849999999999998E-2</v>
      </c>
      <c r="J453" s="39">
        <f t="shared" si="40"/>
        <v>0.97699999999999798</v>
      </c>
    </row>
    <row r="454" spans="6:10" x14ac:dyDescent="0.2">
      <c r="F454" s="47" t="s">
        <v>169</v>
      </c>
      <c r="G454" s="47" t="s">
        <v>194</v>
      </c>
      <c r="H454" s="39">
        <v>0</v>
      </c>
      <c r="I454" s="39">
        <f t="shared" si="39"/>
        <v>0</v>
      </c>
      <c r="J454" s="39">
        <f t="shared" si="40"/>
        <v>0</v>
      </c>
    </row>
    <row r="455" spans="6:10" x14ac:dyDescent="0.2">
      <c r="F455" s="47" t="s">
        <v>35</v>
      </c>
      <c r="G455" s="47" t="s">
        <v>196</v>
      </c>
      <c r="H455" s="39">
        <v>0</v>
      </c>
      <c r="I455" s="39">
        <f t="shared" si="39"/>
        <v>0</v>
      </c>
      <c r="J455" s="39">
        <f t="shared" si="40"/>
        <v>0</v>
      </c>
    </row>
    <row r="456" spans="6:10" x14ac:dyDescent="0.2">
      <c r="H456" s="39" t="s">
        <v>221</v>
      </c>
      <c r="I456" s="39">
        <f>SUM(I426:I454)</f>
        <v>0.21245000000000003</v>
      </c>
    </row>
    <row r="458" spans="6:10" x14ac:dyDescent="0.2">
      <c r="F458" s="40"/>
      <c r="G458" s="40"/>
      <c r="H458" s="82">
        <v>341</v>
      </c>
      <c r="I458" s="40"/>
      <c r="J458" s="40"/>
    </row>
    <row r="459" spans="6:10" x14ac:dyDescent="0.2">
      <c r="F459" s="47" t="s">
        <v>216</v>
      </c>
      <c r="G459" s="47" t="s">
        <v>217</v>
      </c>
      <c r="H459" s="39" t="s">
        <v>218</v>
      </c>
      <c r="I459" s="39" t="s">
        <v>219</v>
      </c>
      <c r="J459" s="39" t="s">
        <v>220</v>
      </c>
    </row>
    <row r="460" spans="6:10" x14ac:dyDescent="0.2">
      <c r="F460" s="47" t="s">
        <v>147</v>
      </c>
      <c r="G460" s="47" t="s">
        <v>148</v>
      </c>
      <c r="H460" s="39">
        <v>0</v>
      </c>
      <c r="I460" s="39">
        <f t="shared" ref="I460:I493" si="41">(H460*5)/1000</f>
        <v>0</v>
      </c>
      <c r="J460" s="39">
        <f t="shared" ref="J460:J493" si="42">I460/$C$16</f>
        <v>0</v>
      </c>
    </row>
    <row r="461" spans="6:10" x14ac:dyDescent="0.2">
      <c r="F461" s="47" t="s">
        <v>18</v>
      </c>
      <c r="G461" s="63" t="s">
        <v>149</v>
      </c>
      <c r="H461" s="39">
        <v>0</v>
      </c>
      <c r="I461" s="39">
        <f t="shared" si="41"/>
        <v>0</v>
      </c>
      <c r="J461" s="39">
        <f t="shared" si="42"/>
        <v>0</v>
      </c>
    </row>
    <row r="462" spans="6:10" x14ac:dyDescent="0.2">
      <c r="F462" s="47" t="s">
        <v>150</v>
      </c>
      <c r="G462" s="63" t="s">
        <v>151</v>
      </c>
      <c r="H462" s="39">
        <v>0</v>
      </c>
      <c r="I462" s="39">
        <f t="shared" si="41"/>
        <v>0</v>
      </c>
      <c r="J462" s="39">
        <f t="shared" si="42"/>
        <v>0</v>
      </c>
    </row>
    <row r="463" spans="6:10" x14ac:dyDescent="0.2">
      <c r="F463" s="47" t="s">
        <v>152</v>
      </c>
      <c r="G463" s="63" t="s">
        <v>153</v>
      </c>
      <c r="H463" s="39">
        <v>0</v>
      </c>
      <c r="I463" s="39">
        <f t="shared" si="41"/>
        <v>0</v>
      </c>
      <c r="J463" s="39">
        <f t="shared" si="42"/>
        <v>0</v>
      </c>
    </row>
    <row r="464" spans="6:10" x14ac:dyDescent="0.2">
      <c r="F464" s="47" t="s">
        <v>19</v>
      </c>
      <c r="G464" s="63" t="s">
        <v>154</v>
      </c>
      <c r="H464" s="39">
        <v>0</v>
      </c>
      <c r="I464" s="39">
        <f t="shared" si="41"/>
        <v>0</v>
      </c>
      <c r="J464" s="39">
        <f t="shared" si="42"/>
        <v>0</v>
      </c>
    </row>
    <row r="465" spans="6:10" x14ac:dyDescent="0.2">
      <c r="F465" s="47" t="s">
        <v>20</v>
      </c>
      <c r="G465" s="65" t="s">
        <v>155</v>
      </c>
      <c r="H465" s="66">
        <v>0</v>
      </c>
      <c r="I465" s="39">
        <f t="shared" si="41"/>
        <v>0</v>
      </c>
      <c r="J465" s="39">
        <f t="shared" si="42"/>
        <v>0</v>
      </c>
    </row>
    <row r="466" spans="6:10" x14ac:dyDescent="0.2">
      <c r="F466" s="47" t="s">
        <v>21</v>
      </c>
      <c r="G466" s="63" t="s">
        <v>156</v>
      </c>
      <c r="H466" s="39">
        <v>0</v>
      </c>
      <c r="I466" s="39">
        <f t="shared" si="41"/>
        <v>0</v>
      </c>
      <c r="J466" s="39">
        <f t="shared" si="42"/>
        <v>0</v>
      </c>
    </row>
    <row r="467" spans="6:10" x14ac:dyDescent="0.2">
      <c r="F467" s="47" t="s">
        <v>29</v>
      </c>
      <c r="G467" s="63" t="s">
        <v>157</v>
      </c>
      <c r="H467" s="39">
        <v>0</v>
      </c>
      <c r="I467" s="39">
        <f t="shared" si="41"/>
        <v>0</v>
      </c>
      <c r="J467" s="39">
        <f t="shared" si="42"/>
        <v>0</v>
      </c>
    </row>
    <row r="468" spans="6:10" x14ac:dyDescent="0.2">
      <c r="F468" s="47" t="s">
        <v>22</v>
      </c>
      <c r="G468" s="63" t="s">
        <v>158</v>
      </c>
      <c r="H468" s="39">
        <v>0</v>
      </c>
      <c r="I468" s="39">
        <f t="shared" si="41"/>
        <v>0</v>
      </c>
      <c r="J468" s="39">
        <f t="shared" si="42"/>
        <v>0</v>
      </c>
    </row>
    <row r="469" spans="6:10" x14ac:dyDescent="0.2">
      <c r="F469" s="47" t="s">
        <v>159</v>
      </c>
      <c r="G469" s="47" t="s">
        <v>160</v>
      </c>
      <c r="H469" s="39">
        <v>0</v>
      </c>
      <c r="I469" s="39">
        <f t="shared" si="41"/>
        <v>0</v>
      </c>
      <c r="J469" s="39">
        <f t="shared" si="42"/>
        <v>0</v>
      </c>
    </row>
    <row r="470" spans="6:10" x14ac:dyDescent="0.2">
      <c r="F470" s="47" t="s">
        <v>23</v>
      </c>
      <c r="G470" s="47" t="s">
        <v>161</v>
      </c>
      <c r="H470" s="39">
        <v>3.16</v>
      </c>
      <c r="I470" s="39">
        <f t="shared" si="41"/>
        <v>1.5800000000000002E-2</v>
      </c>
      <c r="J470" s="39">
        <f t="shared" si="42"/>
        <v>0.31599999999999939</v>
      </c>
    </row>
    <row r="471" spans="6:10" x14ac:dyDescent="0.2">
      <c r="F471" s="47" t="s">
        <v>30</v>
      </c>
      <c r="G471" s="47" t="s">
        <v>162</v>
      </c>
      <c r="H471" s="39">
        <v>0</v>
      </c>
      <c r="I471" s="39">
        <f t="shared" si="41"/>
        <v>0</v>
      </c>
      <c r="J471" s="39">
        <f t="shared" si="42"/>
        <v>0</v>
      </c>
    </row>
    <row r="472" spans="6:10" x14ac:dyDescent="0.2">
      <c r="F472" s="47" t="s">
        <v>24</v>
      </c>
      <c r="G472" s="47" t="s">
        <v>163</v>
      </c>
      <c r="H472" s="39">
        <v>0</v>
      </c>
      <c r="I472" s="39">
        <f t="shared" si="41"/>
        <v>0</v>
      </c>
      <c r="J472" s="39">
        <f t="shared" si="42"/>
        <v>0</v>
      </c>
    </row>
    <row r="473" spans="6:10" x14ac:dyDescent="0.2">
      <c r="F473" s="47" t="s">
        <v>31</v>
      </c>
      <c r="G473" s="47" t="s">
        <v>165</v>
      </c>
      <c r="H473" s="39">
        <v>0</v>
      </c>
      <c r="I473" s="39">
        <f t="shared" si="41"/>
        <v>0</v>
      </c>
      <c r="J473" s="39">
        <f t="shared" si="42"/>
        <v>0</v>
      </c>
    </row>
    <row r="474" spans="6:10" x14ac:dyDescent="0.2">
      <c r="F474" s="47" t="s">
        <v>25</v>
      </c>
      <c r="G474" s="47" t="s">
        <v>167</v>
      </c>
      <c r="H474" s="39">
        <v>1.77</v>
      </c>
      <c r="I474" s="39">
        <f t="shared" si="41"/>
        <v>8.8500000000000002E-3</v>
      </c>
      <c r="J474" s="39">
        <f t="shared" si="42"/>
        <v>0.17699999999999966</v>
      </c>
    </row>
    <row r="475" spans="6:10" x14ac:dyDescent="0.2">
      <c r="F475" s="47" t="s">
        <v>32</v>
      </c>
      <c r="G475" s="47" t="s">
        <v>168</v>
      </c>
      <c r="H475" s="39">
        <v>2.8</v>
      </c>
      <c r="I475" s="39">
        <f t="shared" si="41"/>
        <v>1.4E-2</v>
      </c>
      <c r="J475" s="39">
        <f t="shared" si="42"/>
        <v>0.27999999999999947</v>
      </c>
    </row>
    <row r="476" spans="6:10" x14ac:dyDescent="0.2">
      <c r="F476" s="47" t="s">
        <v>37</v>
      </c>
      <c r="G476" s="47" t="s">
        <v>170</v>
      </c>
      <c r="H476" s="39">
        <v>0</v>
      </c>
      <c r="I476" s="39">
        <f t="shared" si="41"/>
        <v>0</v>
      </c>
      <c r="J476" s="39">
        <f t="shared" si="42"/>
        <v>0</v>
      </c>
    </row>
    <row r="477" spans="6:10" x14ac:dyDescent="0.2">
      <c r="F477" s="47" t="s">
        <v>171</v>
      </c>
      <c r="G477" s="47" t="s">
        <v>172</v>
      </c>
      <c r="H477" s="39">
        <v>0</v>
      </c>
      <c r="I477" s="39">
        <f t="shared" si="41"/>
        <v>0</v>
      </c>
      <c r="J477" s="39">
        <f t="shared" si="42"/>
        <v>0</v>
      </c>
    </row>
    <row r="478" spans="6:10" x14ac:dyDescent="0.2">
      <c r="F478" s="47" t="s">
        <v>42</v>
      </c>
      <c r="G478" s="47" t="s">
        <v>174</v>
      </c>
      <c r="H478" s="39">
        <v>0</v>
      </c>
      <c r="I478" s="39">
        <f t="shared" si="41"/>
        <v>0</v>
      </c>
      <c r="J478" s="39">
        <f t="shared" si="42"/>
        <v>0</v>
      </c>
    </row>
    <row r="479" spans="6:10" x14ac:dyDescent="0.2">
      <c r="F479" s="47" t="s">
        <v>38</v>
      </c>
      <c r="G479" s="37" t="s">
        <v>175</v>
      </c>
      <c r="H479" s="39">
        <v>0</v>
      </c>
      <c r="I479" s="39">
        <f t="shared" si="41"/>
        <v>0</v>
      </c>
      <c r="J479" s="39">
        <f t="shared" si="42"/>
        <v>0</v>
      </c>
    </row>
    <row r="480" spans="6:10" x14ac:dyDescent="0.2">
      <c r="F480" s="47" t="s">
        <v>26</v>
      </c>
      <c r="G480" s="47" t="s">
        <v>177</v>
      </c>
      <c r="H480" s="39">
        <v>0</v>
      </c>
      <c r="I480" s="39">
        <f t="shared" si="41"/>
        <v>0</v>
      </c>
      <c r="J480" s="39">
        <f t="shared" si="42"/>
        <v>0</v>
      </c>
    </row>
    <row r="481" spans="6:10" x14ac:dyDescent="0.2">
      <c r="F481" s="47" t="s">
        <v>33</v>
      </c>
      <c r="G481" s="47" t="s">
        <v>178</v>
      </c>
      <c r="H481" s="39">
        <v>0</v>
      </c>
      <c r="I481" s="39">
        <f t="shared" si="41"/>
        <v>0</v>
      </c>
      <c r="J481" s="39">
        <f t="shared" si="42"/>
        <v>0</v>
      </c>
    </row>
    <row r="482" spans="6:10" x14ac:dyDescent="0.2">
      <c r="F482" s="47" t="s">
        <v>39</v>
      </c>
      <c r="G482" s="47" t="s">
        <v>180</v>
      </c>
      <c r="H482" s="39">
        <v>0</v>
      </c>
      <c r="I482" s="39">
        <f t="shared" si="41"/>
        <v>0</v>
      </c>
      <c r="J482" s="39">
        <f t="shared" si="42"/>
        <v>0</v>
      </c>
    </row>
    <row r="483" spans="6:10" x14ac:dyDescent="0.2">
      <c r="F483" s="47" t="s">
        <v>40</v>
      </c>
      <c r="G483" s="47" t="s">
        <v>182</v>
      </c>
      <c r="H483" s="39">
        <v>0</v>
      </c>
      <c r="I483" s="39">
        <f t="shared" si="41"/>
        <v>0</v>
      </c>
      <c r="J483" s="39">
        <f t="shared" si="42"/>
        <v>0</v>
      </c>
    </row>
    <row r="484" spans="6:10" x14ac:dyDescent="0.2">
      <c r="F484" s="68" t="s">
        <v>43</v>
      </c>
      <c r="G484" s="47" t="s">
        <v>184</v>
      </c>
      <c r="H484" s="39">
        <v>0</v>
      </c>
      <c r="I484" s="39">
        <f t="shared" si="41"/>
        <v>0</v>
      </c>
      <c r="J484" s="39">
        <f t="shared" si="42"/>
        <v>0</v>
      </c>
    </row>
    <row r="485" spans="6:10" x14ac:dyDescent="0.2">
      <c r="F485" s="68" t="s">
        <v>186</v>
      </c>
      <c r="G485" s="68" t="s">
        <v>187</v>
      </c>
      <c r="H485" s="66">
        <v>0</v>
      </c>
      <c r="I485" s="39">
        <f t="shared" si="41"/>
        <v>0</v>
      </c>
      <c r="J485" s="39">
        <f t="shared" si="42"/>
        <v>0</v>
      </c>
    </row>
    <row r="486" spans="6:10" x14ac:dyDescent="0.2">
      <c r="F486" s="47" t="s">
        <v>44</v>
      </c>
      <c r="G486" s="47" t="s">
        <v>188</v>
      </c>
      <c r="H486" s="39">
        <v>0</v>
      </c>
      <c r="I486" s="39">
        <f t="shared" si="41"/>
        <v>0</v>
      </c>
      <c r="J486" s="39">
        <f t="shared" si="42"/>
        <v>0</v>
      </c>
    </row>
    <row r="487" spans="6:10" x14ac:dyDescent="0.2">
      <c r="F487" s="68" t="s">
        <v>164</v>
      </c>
      <c r="G487" s="68" t="s">
        <v>189</v>
      </c>
      <c r="H487" s="66">
        <v>0</v>
      </c>
      <c r="I487" s="39">
        <f t="shared" si="41"/>
        <v>0</v>
      </c>
      <c r="J487" s="39">
        <f t="shared" si="42"/>
        <v>0</v>
      </c>
    </row>
    <row r="488" spans="6:10" x14ac:dyDescent="0.2">
      <c r="F488" s="47" t="s">
        <v>166</v>
      </c>
      <c r="G488" s="47" t="s">
        <v>190</v>
      </c>
      <c r="H488" s="39">
        <v>0</v>
      </c>
      <c r="I488" s="39">
        <f t="shared" si="41"/>
        <v>0</v>
      </c>
      <c r="J488" s="39">
        <f t="shared" si="42"/>
        <v>0</v>
      </c>
    </row>
    <row r="489" spans="6:10" x14ac:dyDescent="0.2">
      <c r="F489" s="47" t="s">
        <v>34</v>
      </c>
      <c r="G489" s="47" t="s">
        <v>191</v>
      </c>
      <c r="H489" s="39">
        <v>0</v>
      </c>
      <c r="I489" s="39">
        <f t="shared" si="41"/>
        <v>0</v>
      </c>
      <c r="J489" s="39">
        <f t="shared" si="42"/>
        <v>0</v>
      </c>
    </row>
    <row r="490" spans="6:10" x14ac:dyDescent="0.2">
      <c r="F490" s="47" t="s">
        <v>27</v>
      </c>
      <c r="G490" s="47" t="s">
        <v>192</v>
      </c>
      <c r="H490" s="39">
        <v>0</v>
      </c>
      <c r="I490" s="39">
        <f t="shared" si="41"/>
        <v>0</v>
      </c>
      <c r="J490" s="39">
        <f t="shared" si="42"/>
        <v>0</v>
      </c>
    </row>
    <row r="491" spans="6:10" x14ac:dyDescent="0.2">
      <c r="F491" s="47" t="s">
        <v>45</v>
      </c>
      <c r="G491" s="47" t="s">
        <v>193</v>
      </c>
      <c r="H491" s="39">
        <v>0</v>
      </c>
      <c r="I491" s="39">
        <f t="shared" si="41"/>
        <v>0</v>
      </c>
      <c r="J491" s="39">
        <f t="shared" si="42"/>
        <v>0</v>
      </c>
    </row>
    <row r="492" spans="6:10" x14ac:dyDescent="0.2">
      <c r="F492" s="47" t="s">
        <v>169</v>
      </c>
      <c r="G492" s="47" t="s">
        <v>194</v>
      </c>
      <c r="H492" s="39">
        <v>0</v>
      </c>
      <c r="I492" s="39">
        <f t="shared" si="41"/>
        <v>0</v>
      </c>
      <c r="J492" s="39">
        <f t="shared" si="42"/>
        <v>0</v>
      </c>
    </row>
    <row r="493" spans="6:10" x14ac:dyDescent="0.2">
      <c r="F493" s="47" t="s">
        <v>35</v>
      </c>
      <c r="G493" s="47" t="s">
        <v>196</v>
      </c>
      <c r="H493" s="39">
        <v>0</v>
      </c>
      <c r="I493" s="39">
        <f t="shared" si="41"/>
        <v>0</v>
      </c>
      <c r="J493" s="39">
        <f t="shared" si="42"/>
        <v>0</v>
      </c>
    </row>
    <row r="494" spans="6:10" x14ac:dyDescent="0.2">
      <c r="H494" s="39" t="s">
        <v>221</v>
      </c>
      <c r="I494" s="39">
        <f>SUM(I464:I492)</f>
        <v>3.8650000000000004E-2</v>
      </c>
    </row>
    <row r="496" spans="6:10" ht="16" x14ac:dyDescent="0.2">
      <c r="H496" s="36">
        <v>111</v>
      </c>
      <c r="I496" s="40"/>
    </row>
    <row r="497" spans="6:10" x14ac:dyDescent="0.2">
      <c r="F497" s="47" t="s">
        <v>216</v>
      </c>
      <c r="G497" s="47" t="s">
        <v>217</v>
      </c>
      <c r="H497" s="39" t="s">
        <v>218</v>
      </c>
      <c r="I497" s="39" t="s">
        <v>219</v>
      </c>
      <c r="J497" s="39" t="s">
        <v>220</v>
      </c>
    </row>
    <row r="498" spans="6:10" x14ac:dyDescent="0.2">
      <c r="F498" s="47" t="s">
        <v>147</v>
      </c>
      <c r="G498" s="47" t="s">
        <v>148</v>
      </c>
      <c r="H498" s="39">
        <v>0</v>
      </c>
      <c r="I498" s="39">
        <f t="shared" ref="I498:I531" si="43">(H498*5)/1000</f>
        <v>0</v>
      </c>
      <c r="J498" s="39">
        <f t="shared" ref="J498:J531" si="44">I498/$C$17</f>
        <v>0</v>
      </c>
    </row>
    <row r="499" spans="6:10" x14ac:dyDescent="0.2">
      <c r="F499" s="47" t="s">
        <v>18</v>
      </c>
      <c r="G499" s="63" t="s">
        <v>149</v>
      </c>
      <c r="H499" s="39">
        <v>0</v>
      </c>
      <c r="I499" s="39">
        <f t="shared" si="43"/>
        <v>0</v>
      </c>
      <c r="J499" s="39">
        <f t="shared" si="44"/>
        <v>0</v>
      </c>
    </row>
    <row r="500" spans="6:10" x14ac:dyDescent="0.2">
      <c r="F500" s="47" t="s">
        <v>150</v>
      </c>
      <c r="G500" s="63" t="s">
        <v>151</v>
      </c>
      <c r="H500" s="39">
        <v>0</v>
      </c>
      <c r="I500" s="39">
        <f t="shared" si="43"/>
        <v>0</v>
      </c>
      <c r="J500" s="39">
        <f t="shared" si="44"/>
        <v>0</v>
      </c>
    </row>
    <row r="501" spans="6:10" x14ac:dyDescent="0.2">
      <c r="F501" s="47" t="s">
        <v>152</v>
      </c>
      <c r="G501" s="63" t="s">
        <v>153</v>
      </c>
      <c r="H501" s="39">
        <v>0</v>
      </c>
      <c r="I501" s="39">
        <f t="shared" si="43"/>
        <v>0</v>
      </c>
      <c r="J501" s="39">
        <f t="shared" si="44"/>
        <v>0</v>
      </c>
    </row>
    <row r="502" spans="6:10" x14ac:dyDescent="0.2">
      <c r="F502" s="47" t="s">
        <v>19</v>
      </c>
      <c r="G502" s="63" t="s">
        <v>154</v>
      </c>
      <c r="H502" s="39">
        <v>0</v>
      </c>
      <c r="I502" s="39">
        <f t="shared" si="43"/>
        <v>0</v>
      </c>
      <c r="J502" s="39">
        <f t="shared" si="44"/>
        <v>0</v>
      </c>
    </row>
    <row r="503" spans="6:10" x14ac:dyDescent="0.2">
      <c r="F503" s="64" t="s">
        <v>20</v>
      </c>
      <c r="G503" s="65" t="s">
        <v>155</v>
      </c>
      <c r="H503" s="66">
        <v>0</v>
      </c>
      <c r="I503" s="39">
        <f t="shared" si="43"/>
        <v>0</v>
      </c>
      <c r="J503" s="39">
        <f t="shared" si="44"/>
        <v>0</v>
      </c>
    </row>
    <row r="504" spans="6:10" x14ac:dyDescent="0.2">
      <c r="F504" s="47" t="s">
        <v>21</v>
      </c>
      <c r="G504" s="63" t="s">
        <v>156</v>
      </c>
      <c r="H504" s="39">
        <v>8.34</v>
      </c>
      <c r="I504" s="39">
        <f t="shared" si="43"/>
        <v>4.1700000000000001E-2</v>
      </c>
      <c r="J504" s="39">
        <f t="shared" si="44"/>
        <v>0.8339999999999983</v>
      </c>
    </row>
    <row r="505" spans="6:10" x14ac:dyDescent="0.2">
      <c r="F505" s="47" t="s">
        <v>29</v>
      </c>
      <c r="G505" s="63" t="s">
        <v>157</v>
      </c>
      <c r="H505" s="39">
        <v>0</v>
      </c>
      <c r="I505" s="39">
        <f t="shared" si="43"/>
        <v>0</v>
      </c>
      <c r="J505" s="39">
        <f t="shared" si="44"/>
        <v>0</v>
      </c>
    </row>
    <row r="506" spans="6:10" x14ac:dyDescent="0.2">
      <c r="F506" s="47" t="s">
        <v>22</v>
      </c>
      <c r="G506" s="63" t="s">
        <v>158</v>
      </c>
      <c r="H506" s="39">
        <v>2.11</v>
      </c>
      <c r="I506" s="39">
        <f t="shared" si="43"/>
        <v>1.0549999999999999E-2</v>
      </c>
      <c r="J506" s="39">
        <f t="shared" si="44"/>
        <v>0.21099999999999955</v>
      </c>
    </row>
    <row r="507" spans="6:10" x14ac:dyDescent="0.2">
      <c r="F507" s="47" t="s">
        <v>159</v>
      </c>
      <c r="G507" s="47" t="s">
        <v>160</v>
      </c>
      <c r="H507" s="39">
        <v>0</v>
      </c>
      <c r="I507" s="39">
        <f t="shared" si="43"/>
        <v>0</v>
      </c>
      <c r="J507" s="39">
        <f t="shared" si="44"/>
        <v>0</v>
      </c>
    </row>
    <row r="508" spans="6:10" x14ac:dyDescent="0.2">
      <c r="F508" s="47" t="s">
        <v>23</v>
      </c>
      <c r="G508" s="47" t="s">
        <v>161</v>
      </c>
      <c r="H508" s="39">
        <v>92.63</v>
      </c>
      <c r="I508" s="39">
        <f t="shared" si="43"/>
        <v>0.46314999999999995</v>
      </c>
      <c r="J508" s="39">
        <f t="shared" si="44"/>
        <v>9.2629999999999804</v>
      </c>
    </row>
    <row r="509" spans="6:10" x14ac:dyDescent="0.2">
      <c r="F509" s="47" t="s">
        <v>30</v>
      </c>
      <c r="G509" s="47" t="s">
        <v>162</v>
      </c>
      <c r="H509" s="39">
        <v>12.19</v>
      </c>
      <c r="I509" s="39">
        <f t="shared" si="43"/>
        <v>6.0949999999999997E-2</v>
      </c>
      <c r="J509" s="39">
        <f t="shared" si="44"/>
        <v>1.2189999999999974</v>
      </c>
    </row>
    <row r="510" spans="6:10" x14ac:dyDescent="0.2">
      <c r="F510" s="47" t="s">
        <v>24</v>
      </c>
      <c r="G510" s="47" t="s">
        <v>163</v>
      </c>
      <c r="H510" s="39">
        <v>4.43</v>
      </c>
      <c r="I510" s="39">
        <f t="shared" si="43"/>
        <v>2.215E-2</v>
      </c>
      <c r="J510" s="39">
        <f t="shared" si="44"/>
        <v>0.44299999999999912</v>
      </c>
    </row>
    <row r="511" spans="6:10" x14ac:dyDescent="0.2">
      <c r="F511" s="47" t="s">
        <v>31</v>
      </c>
      <c r="G511" s="47" t="s">
        <v>165</v>
      </c>
      <c r="H511" s="39">
        <v>3.64</v>
      </c>
      <c r="I511" s="39">
        <f t="shared" si="43"/>
        <v>1.8200000000000001E-2</v>
      </c>
      <c r="J511" s="39">
        <f t="shared" si="44"/>
        <v>0.36399999999999927</v>
      </c>
    </row>
    <row r="512" spans="6:10" x14ac:dyDescent="0.2">
      <c r="F512" s="47" t="s">
        <v>25</v>
      </c>
      <c r="G512" s="47" t="s">
        <v>167</v>
      </c>
      <c r="H512" s="39">
        <v>46.53</v>
      </c>
      <c r="I512" s="39">
        <f t="shared" si="43"/>
        <v>0.23265</v>
      </c>
      <c r="J512" s="39">
        <f t="shared" si="44"/>
        <v>4.6529999999999907</v>
      </c>
    </row>
    <row r="513" spans="6:10" x14ac:dyDescent="0.2">
      <c r="F513" s="47" t="s">
        <v>32</v>
      </c>
      <c r="G513" s="47" t="s">
        <v>168</v>
      </c>
      <c r="H513" s="39">
        <v>203.55</v>
      </c>
      <c r="I513" s="39">
        <f t="shared" si="43"/>
        <v>1.0177499999999999</v>
      </c>
      <c r="J513" s="39">
        <f t="shared" si="44"/>
        <v>20.354999999999958</v>
      </c>
    </row>
    <row r="514" spans="6:10" x14ac:dyDescent="0.2">
      <c r="F514" s="47" t="s">
        <v>37</v>
      </c>
      <c r="G514" s="47" t="s">
        <v>170</v>
      </c>
      <c r="H514" s="39">
        <v>2.02</v>
      </c>
      <c r="I514" s="39">
        <f t="shared" si="43"/>
        <v>1.01E-2</v>
      </c>
      <c r="J514" s="39">
        <f t="shared" si="44"/>
        <v>0.2019999999999996</v>
      </c>
    </row>
    <row r="515" spans="6:10" x14ac:dyDescent="0.2">
      <c r="F515" s="47" t="s">
        <v>171</v>
      </c>
      <c r="G515" s="47" t="s">
        <v>172</v>
      </c>
      <c r="H515" s="39">
        <v>0</v>
      </c>
      <c r="I515" s="39">
        <f t="shared" si="43"/>
        <v>0</v>
      </c>
      <c r="J515" s="39">
        <f t="shared" si="44"/>
        <v>0</v>
      </c>
    </row>
    <row r="516" spans="6:10" x14ac:dyDescent="0.2">
      <c r="F516" s="47" t="s">
        <v>42</v>
      </c>
      <c r="G516" s="47" t="s">
        <v>174</v>
      </c>
      <c r="H516" s="39">
        <v>0.96</v>
      </c>
      <c r="I516" s="39">
        <f t="shared" si="43"/>
        <v>4.7999999999999996E-3</v>
      </c>
      <c r="J516" s="39">
        <f t="shared" si="44"/>
        <v>9.5999999999999794E-2</v>
      </c>
    </row>
    <row r="517" spans="6:10" x14ac:dyDescent="0.2">
      <c r="F517" s="67" t="s">
        <v>38</v>
      </c>
      <c r="G517" s="37" t="s">
        <v>175</v>
      </c>
      <c r="H517" s="39">
        <v>0</v>
      </c>
      <c r="I517" s="39">
        <f t="shared" si="43"/>
        <v>0</v>
      </c>
      <c r="J517" s="39">
        <f t="shared" si="44"/>
        <v>0</v>
      </c>
    </row>
    <row r="518" spans="6:10" x14ac:dyDescent="0.2">
      <c r="F518" s="47" t="s">
        <v>26</v>
      </c>
      <c r="G518" s="47" t="s">
        <v>177</v>
      </c>
      <c r="H518" s="39">
        <v>0</v>
      </c>
      <c r="I518" s="39">
        <f t="shared" si="43"/>
        <v>0</v>
      </c>
      <c r="J518" s="39">
        <f t="shared" si="44"/>
        <v>0</v>
      </c>
    </row>
    <row r="519" spans="6:10" x14ac:dyDescent="0.2">
      <c r="F519" s="47" t="s">
        <v>33</v>
      </c>
      <c r="G519" s="47" t="s">
        <v>178</v>
      </c>
      <c r="H519" s="39">
        <v>38.14</v>
      </c>
      <c r="I519" s="39">
        <f t="shared" si="43"/>
        <v>0.19069999999999998</v>
      </c>
      <c r="J519" s="39">
        <f t="shared" si="44"/>
        <v>3.8139999999999921</v>
      </c>
    </row>
    <row r="520" spans="6:10" x14ac:dyDescent="0.2">
      <c r="F520" s="47" t="s">
        <v>39</v>
      </c>
      <c r="G520" s="47" t="s">
        <v>180</v>
      </c>
      <c r="H520" s="39">
        <v>0</v>
      </c>
      <c r="I520" s="39">
        <f t="shared" si="43"/>
        <v>0</v>
      </c>
      <c r="J520" s="39">
        <f t="shared" si="44"/>
        <v>0</v>
      </c>
    </row>
    <row r="521" spans="6:10" x14ac:dyDescent="0.2">
      <c r="F521" s="47" t="s">
        <v>40</v>
      </c>
      <c r="G521" s="47" t="s">
        <v>182</v>
      </c>
      <c r="H521" s="39">
        <v>0</v>
      </c>
      <c r="I521" s="39">
        <f t="shared" si="43"/>
        <v>0</v>
      </c>
      <c r="J521" s="39">
        <f t="shared" si="44"/>
        <v>0</v>
      </c>
    </row>
    <row r="522" spans="6:10" x14ac:dyDescent="0.2">
      <c r="F522" s="47" t="s">
        <v>43</v>
      </c>
      <c r="G522" s="47" t="s">
        <v>184</v>
      </c>
      <c r="H522" s="39">
        <v>7.05</v>
      </c>
      <c r="I522" s="39">
        <f t="shared" si="43"/>
        <v>3.5249999999999997E-2</v>
      </c>
      <c r="J522" s="39">
        <f t="shared" si="44"/>
        <v>0.70499999999999852</v>
      </c>
    </row>
    <row r="523" spans="6:10" x14ac:dyDescent="0.2">
      <c r="F523" s="68" t="s">
        <v>186</v>
      </c>
      <c r="G523" s="68" t="s">
        <v>187</v>
      </c>
      <c r="H523" s="66">
        <v>0</v>
      </c>
      <c r="I523" s="39">
        <f t="shared" si="43"/>
        <v>0</v>
      </c>
      <c r="J523" s="39">
        <f t="shared" si="44"/>
        <v>0</v>
      </c>
    </row>
    <row r="524" spans="6:10" x14ac:dyDescent="0.2">
      <c r="F524" s="47" t="s">
        <v>44</v>
      </c>
      <c r="G524" s="47" t="s">
        <v>188</v>
      </c>
      <c r="H524" s="39">
        <v>13.6</v>
      </c>
      <c r="I524" s="39">
        <f t="shared" si="43"/>
        <v>6.8000000000000005E-2</v>
      </c>
      <c r="J524" s="39">
        <f t="shared" si="44"/>
        <v>1.3599999999999974</v>
      </c>
    </row>
    <row r="525" spans="6:10" x14ac:dyDescent="0.2">
      <c r="F525" s="68" t="s">
        <v>164</v>
      </c>
      <c r="G525" s="68" t="s">
        <v>189</v>
      </c>
      <c r="H525" s="66">
        <v>0</v>
      </c>
      <c r="I525" s="39">
        <f t="shared" si="43"/>
        <v>0</v>
      </c>
      <c r="J525" s="39">
        <f t="shared" si="44"/>
        <v>0</v>
      </c>
    </row>
    <row r="526" spans="6:10" x14ac:dyDescent="0.2">
      <c r="F526" s="47" t="s">
        <v>166</v>
      </c>
      <c r="G526" s="47" t="s">
        <v>190</v>
      </c>
      <c r="H526" s="39">
        <v>0</v>
      </c>
      <c r="I526" s="39">
        <f t="shared" si="43"/>
        <v>0</v>
      </c>
      <c r="J526" s="39">
        <f t="shared" si="44"/>
        <v>0</v>
      </c>
    </row>
    <row r="527" spans="6:10" x14ac:dyDescent="0.2">
      <c r="F527" s="47" t="s">
        <v>34</v>
      </c>
      <c r="G527" s="47" t="s">
        <v>191</v>
      </c>
      <c r="H527" s="39">
        <v>5.55</v>
      </c>
      <c r="I527" s="39">
        <f t="shared" si="43"/>
        <v>2.775E-2</v>
      </c>
      <c r="J527" s="39">
        <f t="shared" si="44"/>
        <v>0.55499999999999894</v>
      </c>
    </row>
    <row r="528" spans="6:10" x14ac:dyDescent="0.2">
      <c r="F528" s="47" t="s">
        <v>27</v>
      </c>
      <c r="G528" s="47" t="s">
        <v>192</v>
      </c>
      <c r="H528" s="39">
        <v>7.62</v>
      </c>
      <c r="I528" s="39">
        <f t="shared" si="43"/>
        <v>3.8100000000000002E-2</v>
      </c>
      <c r="J528" s="39">
        <f t="shared" si="44"/>
        <v>0.76199999999999857</v>
      </c>
    </row>
    <row r="529" spans="6:10" x14ac:dyDescent="0.2">
      <c r="F529" s="47" t="s">
        <v>45</v>
      </c>
      <c r="G529" s="47" t="s">
        <v>193</v>
      </c>
      <c r="H529" s="39">
        <v>114.65</v>
      </c>
      <c r="I529" s="39">
        <f t="shared" si="43"/>
        <v>0.57325000000000004</v>
      </c>
      <c r="J529" s="39">
        <f t="shared" si="44"/>
        <v>11.464999999999979</v>
      </c>
    </row>
    <row r="530" spans="6:10" x14ac:dyDescent="0.2">
      <c r="F530" s="47" t="s">
        <v>169</v>
      </c>
      <c r="G530" s="47" t="s">
        <v>194</v>
      </c>
      <c r="H530" s="39">
        <v>0</v>
      </c>
      <c r="I530" s="39">
        <f t="shared" si="43"/>
        <v>0</v>
      </c>
      <c r="J530" s="39">
        <f t="shared" si="44"/>
        <v>0</v>
      </c>
    </row>
    <row r="531" spans="6:10" x14ac:dyDescent="0.2">
      <c r="F531" s="47" t="s">
        <v>35</v>
      </c>
      <c r="G531" s="47" t="s">
        <v>196</v>
      </c>
      <c r="H531" s="79">
        <v>3.45</v>
      </c>
      <c r="I531" s="39">
        <f t="shared" si="43"/>
        <v>1.7250000000000001E-2</v>
      </c>
      <c r="J531" s="39">
        <f t="shared" si="44"/>
        <v>0.34499999999999936</v>
      </c>
    </row>
    <row r="532" spans="6:10" x14ac:dyDescent="0.2">
      <c r="H532" s="39" t="s">
        <v>221</v>
      </c>
      <c r="I532" s="39">
        <f>SUM(I502:I530)</f>
        <v>2.8150500000000003</v>
      </c>
    </row>
    <row r="534" spans="6:10" ht="16" x14ac:dyDescent="0.2">
      <c r="H534" s="36">
        <v>75</v>
      </c>
    </row>
    <row r="535" spans="6:10" x14ac:dyDescent="0.2">
      <c r="F535" s="47" t="s">
        <v>216</v>
      </c>
      <c r="G535" s="47" t="s">
        <v>217</v>
      </c>
      <c r="H535" s="39" t="s">
        <v>218</v>
      </c>
      <c r="I535" s="39" t="s">
        <v>219</v>
      </c>
      <c r="J535" s="39" t="s">
        <v>220</v>
      </c>
    </row>
    <row r="536" spans="6:10" x14ac:dyDescent="0.2">
      <c r="F536" s="47" t="s">
        <v>147</v>
      </c>
      <c r="G536" s="47" t="s">
        <v>148</v>
      </c>
      <c r="H536" s="39">
        <v>0</v>
      </c>
      <c r="I536" s="39">
        <f t="shared" ref="I536:I569" si="45">(H536*5)/1000</f>
        <v>0</v>
      </c>
      <c r="J536" s="39">
        <f t="shared" ref="J536:J569" si="46">I536/$C$18</f>
        <v>0</v>
      </c>
    </row>
    <row r="537" spans="6:10" x14ac:dyDescent="0.2">
      <c r="F537" s="47" t="s">
        <v>18</v>
      </c>
      <c r="G537" s="63" t="s">
        <v>149</v>
      </c>
      <c r="H537" s="39">
        <v>0</v>
      </c>
      <c r="I537" s="39">
        <f t="shared" si="45"/>
        <v>0</v>
      </c>
      <c r="J537" s="39">
        <f t="shared" si="46"/>
        <v>0</v>
      </c>
    </row>
    <row r="538" spans="6:10" x14ac:dyDescent="0.2">
      <c r="F538" s="47" t="s">
        <v>150</v>
      </c>
      <c r="G538" s="63" t="s">
        <v>151</v>
      </c>
      <c r="H538" s="39">
        <v>0</v>
      </c>
      <c r="I538" s="39">
        <f t="shared" si="45"/>
        <v>0</v>
      </c>
      <c r="J538" s="39">
        <f t="shared" si="46"/>
        <v>0</v>
      </c>
    </row>
    <row r="539" spans="6:10" x14ac:dyDescent="0.2">
      <c r="F539" s="47" t="s">
        <v>152</v>
      </c>
      <c r="G539" s="63" t="s">
        <v>153</v>
      </c>
      <c r="H539" s="39">
        <v>0</v>
      </c>
      <c r="I539" s="39">
        <f t="shared" si="45"/>
        <v>0</v>
      </c>
      <c r="J539" s="39">
        <f t="shared" si="46"/>
        <v>0</v>
      </c>
    </row>
    <row r="540" spans="6:10" x14ac:dyDescent="0.2">
      <c r="F540" s="47" t="s">
        <v>19</v>
      </c>
      <c r="G540" s="63" t="s">
        <v>154</v>
      </c>
      <c r="H540" s="39">
        <v>0</v>
      </c>
      <c r="I540" s="39">
        <f t="shared" si="45"/>
        <v>0</v>
      </c>
      <c r="J540" s="39">
        <f t="shared" si="46"/>
        <v>0</v>
      </c>
    </row>
    <row r="541" spans="6:10" x14ac:dyDescent="0.2">
      <c r="F541" s="67" t="s">
        <v>20</v>
      </c>
      <c r="G541" s="65" t="s">
        <v>155</v>
      </c>
      <c r="H541" s="39">
        <v>0</v>
      </c>
      <c r="I541" s="39">
        <f t="shared" si="45"/>
        <v>0</v>
      </c>
      <c r="J541" s="39">
        <f t="shared" si="46"/>
        <v>0</v>
      </c>
    </row>
    <row r="542" spans="6:10" x14ac:dyDescent="0.2">
      <c r="F542" s="47" t="s">
        <v>21</v>
      </c>
      <c r="G542" s="63" t="s">
        <v>156</v>
      </c>
      <c r="H542" s="39">
        <v>0</v>
      </c>
      <c r="I542" s="39">
        <f t="shared" si="45"/>
        <v>0</v>
      </c>
      <c r="J542" s="39">
        <f t="shared" si="46"/>
        <v>0</v>
      </c>
    </row>
    <row r="543" spans="6:10" x14ac:dyDescent="0.2">
      <c r="F543" s="47" t="s">
        <v>29</v>
      </c>
      <c r="G543" s="63" t="s">
        <v>157</v>
      </c>
      <c r="H543" s="39">
        <v>0</v>
      </c>
      <c r="I543" s="39">
        <f t="shared" si="45"/>
        <v>0</v>
      </c>
      <c r="J543" s="39">
        <f t="shared" si="46"/>
        <v>0</v>
      </c>
    </row>
    <row r="544" spans="6:10" x14ac:dyDescent="0.2">
      <c r="F544" s="47" t="s">
        <v>22</v>
      </c>
      <c r="G544" s="63" t="s">
        <v>158</v>
      </c>
      <c r="H544" s="39">
        <v>0</v>
      </c>
      <c r="I544" s="39">
        <f t="shared" si="45"/>
        <v>0</v>
      </c>
      <c r="J544" s="39">
        <f t="shared" si="46"/>
        <v>0</v>
      </c>
    </row>
    <row r="545" spans="6:10" x14ac:dyDescent="0.2">
      <c r="F545" s="47" t="s">
        <v>159</v>
      </c>
      <c r="G545" s="47" t="s">
        <v>160</v>
      </c>
      <c r="H545" s="39">
        <v>0</v>
      </c>
      <c r="I545" s="39">
        <f t="shared" si="45"/>
        <v>0</v>
      </c>
      <c r="J545" s="39">
        <f t="shared" si="46"/>
        <v>0</v>
      </c>
    </row>
    <row r="546" spans="6:10" x14ac:dyDescent="0.2">
      <c r="F546" s="47" t="s">
        <v>23</v>
      </c>
      <c r="G546" s="47" t="s">
        <v>161</v>
      </c>
      <c r="H546" s="39">
        <v>3.25</v>
      </c>
      <c r="I546" s="39">
        <f t="shared" si="45"/>
        <v>1.6250000000000001E-2</v>
      </c>
      <c r="J546" s="39">
        <f t="shared" si="46"/>
        <v>0.32499999999999934</v>
      </c>
    </row>
    <row r="547" spans="6:10" x14ac:dyDescent="0.2">
      <c r="F547" s="47" t="s">
        <v>30</v>
      </c>
      <c r="G547" s="47" t="s">
        <v>162</v>
      </c>
      <c r="H547" s="39">
        <v>1.06</v>
      </c>
      <c r="I547" s="39">
        <f t="shared" si="45"/>
        <v>5.3000000000000009E-3</v>
      </c>
      <c r="J547" s="39">
        <f t="shared" si="46"/>
        <v>0.1059999999999998</v>
      </c>
    </row>
    <row r="548" spans="6:10" x14ac:dyDescent="0.2">
      <c r="F548" s="47" t="s">
        <v>24</v>
      </c>
      <c r="G548" s="47" t="s">
        <v>163</v>
      </c>
      <c r="H548" s="39">
        <v>0</v>
      </c>
      <c r="I548" s="39">
        <f t="shared" si="45"/>
        <v>0</v>
      </c>
      <c r="J548" s="39">
        <f t="shared" si="46"/>
        <v>0</v>
      </c>
    </row>
    <row r="549" spans="6:10" x14ac:dyDescent="0.2">
      <c r="F549" s="47" t="s">
        <v>31</v>
      </c>
      <c r="G549" s="47" t="s">
        <v>165</v>
      </c>
      <c r="H549" s="39">
        <v>0</v>
      </c>
      <c r="I549" s="39">
        <f t="shared" si="45"/>
        <v>0</v>
      </c>
      <c r="J549" s="39">
        <f t="shared" si="46"/>
        <v>0</v>
      </c>
    </row>
    <row r="550" spans="6:10" x14ac:dyDescent="0.2">
      <c r="F550" s="47" t="s">
        <v>25</v>
      </c>
      <c r="G550" s="47" t="s">
        <v>167</v>
      </c>
      <c r="H550" s="39">
        <v>2.1800000000000002</v>
      </c>
      <c r="I550" s="39">
        <f t="shared" si="45"/>
        <v>1.09E-2</v>
      </c>
      <c r="J550" s="39">
        <f t="shared" si="46"/>
        <v>0.21799999999999956</v>
      </c>
    </row>
    <row r="551" spans="6:10" x14ac:dyDescent="0.2">
      <c r="F551" s="47" t="s">
        <v>32</v>
      </c>
      <c r="G551" s="47" t="s">
        <v>168</v>
      </c>
      <c r="H551" s="39">
        <v>1.24</v>
      </c>
      <c r="I551" s="39">
        <f t="shared" si="45"/>
        <v>6.1999999999999998E-3</v>
      </c>
      <c r="J551" s="39">
        <f t="shared" si="46"/>
        <v>0.12399999999999975</v>
      </c>
    </row>
    <row r="552" spans="6:10" x14ac:dyDescent="0.2">
      <c r="F552" s="47" t="s">
        <v>37</v>
      </c>
      <c r="G552" s="47" t="s">
        <v>170</v>
      </c>
      <c r="H552" s="39">
        <v>0</v>
      </c>
      <c r="I552" s="39">
        <f t="shared" si="45"/>
        <v>0</v>
      </c>
      <c r="J552" s="39">
        <f t="shared" si="46"/>
        <v>0</v>
      </c>
    </row>
    <row r="553" spans="6:10" x14ac:dyDescent="0.2">
      <c r="F553" s="47" t="s">
        <v>171</v>
      </c>
      <c r="G553" s="47" t="s">
        <v>172</v>
      </c>
      <c r="H553" s="39">
        <v>0</v>
      </c>
      <c r="I553" s="39">
        <f t="shared" si="45"/>
        <v>0</v>
      </c>
      <c r="J553" s="39">
        <f t="shared" si="46"/>
        <v>0</v>
      </c>
    </row>
    <row r="554" spans="6:10" x14ac:dyDescent="0.2">
      <c r="F554" s="47" t="s">
        <v>42</v>
      </c>
      <c r="G554" s="47" t="s">
        <v>174</v>
      </c>
      <c r="H554" s="39">
        <v>0</v>
      </c>
      <c r="I554" s="39">
        <f t="shared" si="45"/>
        <v>0</v>
      </c>
      <c r="J554" s="39">
        <f t="shared" si="46"/>
        <v>0</v>
      </c>
    </row>
    <row r="555" spans="6:10" x14ac:dyDescent="0.2">
      <c r="F555" s="67" t="s">
        <v>38</v>
      </c>
      <c r="G555" s="37" t="s">
        <v>175</v>
      </c>
      <c r="H555" s="39">
        <v>0</v>
      </c>
      <c r="I555" s="39">
        <f t="shared" si="45"/>
        <v>0</v>
      </c>
      <c r="J555" s="39">
        <f t="shared" si="46"/>
        <v>0</v>
      </c>
    </row>
    <row r="556" spans="6:10" x14ac:dyDescent="0.2">
      <c r="F556" s="47" t="s">
        <v>26</v>
      </c>
      <c r="G556" s="47" t="s">
        <v>177</v>
      </c>
      <c r="H556" s="39">
        <v>0</v>
      </c>
      <c r="I556" s="39">
        <f t="shared" si="45"/>
        <v>0</v>
      </c>
      <c r="J556" s="39">
        <f t="shared" si="46"/>
        <v>0</v>
      </c>
    </row>
    <row r="557" spans="6:10" x14ac:dyDescent="0.2">
      <c r="F557" s="47" t="s">
        <v>33</v>
      </c>
      <c r="G557" s="47" t="s">
        <v>178</v>
      </c>
      <c r="H557" s="39">
        <v>0</v>
      </c>
      <c r="I557" s="39">
        <f t="shared" si="45"/>
        <v>0</v>
      </c>
      <c r="J557" s="39">
        <f t="shared" si="46"/>
        <v>0</v>
      </c>
    </row>
    <row r="558" spans="6:10" x14ac:dyDescent="0.2">
      <c r="F558" s="47" t="s">
        <v>39</v>
      </c>
      <c r="G558" s="47" t="s">
        <v>180</v>
      </c>
      <c r="H558" s="39">
        <v>0</v>
      </c>
      <c r="I558" s="39">
        <f t="shared" si="45"/>
        <v>0</v>
      </c>
      <c r="J558" s="39">
        <f t="shared" si="46"/>
        <v>0</v>
      </c>
    </row>
    <row r="559" spans="6:10" x14ac:dyDescent="0.2">
      <c r="F559" s="47" t="s">
        <v>40</v>
      </c>
      <c r="G559" s="47" t="s">
        <v>182</v>
      </c>
      <c r="H559" s="39">
        <v>0</v>
      </c>
      <c r="I559" s="39">
        <f t="shared" si="45"/>
        <v>0</v>
      </c>
      <c r="J559" s="39">
        <f t="shared" si="46"/>
        <v>0</v>
      </c>
    </row>
    <row r="560" spans="6:10" x14ac:dyDescent="0.2">
      <c r="F560" s="67" t="s">
        <v>43</v>
      </c>
      <c r="G560" s="47" t="s">
        <v>184</v>
      </c>
      <c r="H560" s="39">
        <v>0</v>
      </c>
      <c r="I560" s="39">
        <f t="shared" si="45"/>
        <v>0</v>
      </c>
      <c r="J560" s="39">
        <f t="shared" si="46"/>
        <v>0</v>
      </c>
    </row>
    <row r="561" spans="6:10" x14ac:dyDescent="0.2">
      <c r="F561" s="68" t="s">
        <v>186</v>
      </c>
      <c r="G561" s="68" t="s">
        <v>187</v>
      </c>
      <c r="H561" s="66">
        <v>0</v>
      </c>
      <c r="I561" s="39">
        <f t="shared" si="45"/>
        <v>0</v>
      </c>
      <c r="J561" s="39">
        <f t="shared" si="46"/>
        <v>0</v>
      </c>
    </row>
    <row r="562" spans="6:10" x14ac:dyDescent="0.2">
      <c r="F562" s="47" t="s">
        <v>44</v>
      </c>
      <c r="G562" s="47" t="s">
        <v>188</v>
      </c>
      <c r="H562" s="39">
        <v>0</v>
      </c>
      <c r="I562" s="39">
        <f t="shared" si="45"/>
        <v>0</v>
      </c>
      <c r="J562" s="39">
        <f t="shared" si="46"/>
        <v>0</v>
      </c>
    </row>
    <row r="563" spans="6:10" x14ac:dyDescent="0.2">
      <c r="F563" s="68" t="s">
        <v>164</v>
      </c>
      <c r="G563" s="68" t="s">
        <v>189</v>
      </c>
      <c r="H563" s="66">
        <v>0</v>
      </c>
      <c r="I563" s="39">
        <f t="shared" si="45"/>
        <v>0</v>
      </c>
      <c r="J563" s="39">
        <f t="shared" si="46"/>
        <v>0</v>
      </c>
    </row>
    <row r="564" spans="6:10" x14ac:dyDescent="0.2">
      <c r="F564" s="47" t="s">
        <v>166</v>
      </c>
      <c r="G564" s="47" t="s">
        <v>190</v>
      </c>
      <c r="H564" s="39">
        <v>0</v>
      </c>
      <c r="I564" s="39">
        <f t="shared" si="45"/>
        <v>0</v>
      </c>
      <c r="J564" s="39">
        <f t="shared" si="46"/>
        <v>0</v>
      </c>
    </row>
    <row r="565" spans="6:10" x14ac:dyDescent="0.2">
      <c r="F565" s="47" t="s">
        <v>34</v>
      </c>
      <c r="G565" s="47" t="s">
        <v>191</v>
      </c>
      <c r="H565" s="39">
        <v>0</v>
      </c>
      <c r="I565" s="39">
        <f t="shared" si="45"/>
        <v>0</v>
      </c>
      <c r="J565" s="39">
        <f t="shared" si="46"/>
        <v>0</v>
      </c>
    </row>
    <row r="566" spans="6:10" x14ac:dyDescent="0.2">
      <c r="F566" s="47" t="s">
        <v>27</v>
      </c>
      <c r="G566" s="47" t="s">
        <v>192</v>
      </c>
      <c r="H566" s="39">
        <v>0</v>
      </c>
      <c r="I566" s="39">
        <f t="shared" si="45"/>
        <v>0</v>
      </c>
      <c r="J566" s="39">
        <f t="shared" si="46"/>
        <v>0</v>
      </c>
    </row>
    <row r="567" spans="6:10" x14ac:dyDescent="0.2">
      <c r="F567" s="47" t="s">
        <v>45</v>
      </c>
      <c r="G567" s="47" t="s">
        <v>193</v>
      </c>
      <c r="H567" s="39">
        <v>2.63</v>
      </c>
      <c r="I567" s="39">
        <f t="shared" si="45"/>
        <v>1.3149999999999998E-2</v>
      </c>
      <c r="J567" s="39">
        <f t="shared" si="46"/>
        <v>0.26299999999999946</v>
      </c>
    </row>
    <row r="568" spans="6:10" x14ac:dyDescent="0.2">
      <c r="F568" s="47" t="s">
        <v>169</v>
      </c>
      <c r="G568" s="47" t="s">
        <v>194</v>
      </c>
      <c r="H568" s="39">
        <v>0</v>
      </c>
      <c r="I568" s="39">
        <f t="shared" si="45"/>
        <v>0</v>
      </c>
      <c r="J568" s="39">
        <f t="shared" si="46"/>
        <v>0</v>
      </c>
    </row>
    <row r="569" spans="6:10" x14ac:dyDescent="0.2">
      <c r="F569" s="47" t="s">
        <v>35</v>
      </c>
      <c r="G569" s="47" t="s">
        <v>196</v>
      </c>
      <c r="H569" s="39">
        <v>0</v>
      </c>
      <c r="I569" s="39">
        <f t="shared" si="45"/>
        <v>0</v>
      </c>
      <c r="J569" s="39">
        <f t="shared" si="46"/>
        <v>0</v>
      </c>
    </row>
    <row r="570" spans="6:10" x14ac:dyDescent="0.2">
      <c r="H570" s="39" t="s">
        <v>221</v>
      </c>
      <c r="I570" s="39">
        <f>SUM(I536:I569)</f>
        <v>5.1799999999999999E-2</v>
      </c>
    </row>
    <row r="572" spans="6:10" ht="16" x14ac:dyDescent="0.2">
      <c r="F572" s="89"/>
      <c r="G572" s="89"/>
      <c r="H572" s="41">
        <v>28</v>
      </c>
      <c r="I572" s="89"/>
      <c r="J572" s="89"/>
    </row>
    <row r="573" spans="6:10" x14ac:dyDescent="0.2">
      <c r="F573" s="47" t="s">
        <v>216</v>
      </c>
      <c r="G573" s="47" t="s">
        <v>217</v>
      </c>
      <c r="H573" s="39" t="s">
        <v>218</v>
      </c>
      <c r="I573" s="39" t="s">
        <v>219</v>
      </c>
      <c r="J573" s="39" t="s">
        <v>220</v>
      </c>
    </row>
    <row r="574" spans="6:10" x14ac:dyDescent="0.2">
      <c r="F574" s="47" t="s">
        <v>147</v>
      </c>
      <c r="G574" s="47" t="s">
        <v>148</v>
      </c>
      <c r="H574" s="39">
        <v>0</v>
      </c>
      <c r="I574" s="39">
        <f t="shared" ref="I574:I607" si="47">(H574*5)/1000</f>
        <v>0</v>
      </c>
      <c r="J574" s="39">
        <f t="shared" ref="J574:J607" si="48">I574/$C$19</f>
        <v>0</v>
      </c>
    </row>
    <row r="575" spans="6:10" x14ac:dyDescent="0.2">
      <c r="F575" s="47" t="s">
        <v>18</v>
      </c>
      <c r="G575" s="63" t="s">
        <v>149</v>
      </c>
      <c r="H575" s="39">
        <v>0</v>
      </c>
      <c r="I575" s="39">
        <f t="shared" si="47"/>
        <v>0</v>
      </c>
      <c r="J575" s="39">
        <f t="shared" si="48"/>
        <v>0</v>
      </c>
    </row>
    <row r="576" spans="6:10" x14ac:dyDescent="0.2">
      <c r="F576" s="47" t="s">
        <v>150</v>
      </c>
      <c r="G576" s="63" t="s">
        <v>151</v>
      </c>
      <c r="H576" s="39">
        <v>0</v>
      </c>
      <c r="I576" s="39">
        <f t="shared" si="47"/>
        <v>0</v>
      </c>
      <c r="J576" s="39">
        <f t="shared" si="48"/>
        <v>0</v>
      </c>
    </row>
    <row r="577" spans="6:10" x14ac:dyDescent="0.2">
      <c r="F577" s="47" t="s">
        <v>152</v>
      </c>
      <c r="G577" s="63" t="s">
        <v>153</v>
      </c>
      <c r="H577" s="39">
        <v>0</v>
      </c>
      <c r="I577" s="39">
        <f t="shared" si="47"/>
        <v>0</v>
      </c>
      <c r="J577" s="39">
        <f t="shared" si="48"/>
        <v>0</v>
      </c>
    </row>
    <row r="578" spans="6:10" x14ac:dyDescent="0.2">
      <c r="F578" s="47" t="s">
        <v>19</v>
      </c>
      <c r="G578" s="63" t="s">
        <v>154</v>
      </c>
      <c r="H578" s="39">
        <v>0</v>
      </c>
      <c r="I578" s="39">
        <f t="shared" si="47"/>
        <v>0</v>
      </c>
      <c r="J578" s="39">
        <f t="shared" si="48"/>
        <v>0</v>
      </c>
    </row>
    <row r="579" spans="6:10" x14ac:dyDescent="0.2">
      <c r="F579" s="67" t="s">
        <v>20</v>
      </c>
      <c r="G579" s="65" t="s">
        <v>155</v>
      </c>
      <c r="H579" s="39">
        <v>0</v>
      </c>
      <c r="I579" s="79">
        <f t="shared" si="47"/>
        <v>0</v>
      </c>
      <c r="J579" s="39">
        <f t="shared" si="48"/>
        <v>0</v>
      </c>
    </row>
    <row r="580" spans="6:10" x14ac:dyDescent="0.2">
      <c r="F580" s="47" t="s">
        <v>21</v>
      </c>
      <c r="G580" s="63" t="s">
        <v>156</v>
      </c>
      <c r="H580" s="39">
        <v>1.0900000000000001</v>
      </c>
      <c r="I580" s="39">
        <f t="shared" si="47"/>
        <v>5.45E-3</v>
      </c>
      <c r="J580" s="39">
        <f t="shared" si="48"/>
        <v>0.10899999999999978</v>
      </c>
    </row>
    <row r="581" spans="6:10" x14ac:dyDescent="0.2">
      <c r="F581" s="47" t="s">
        <v>29</v>
      </c>
      <c r="G581" s="63" t="s">
        <v>157</v>
      </c>
      <c r="H581" s="39">
        <v>0</v>
      </c>
      <c r="I581" s="39">
        <f t="shared" si="47"/>
        <v>0</v>
      </c>
      <c r="J581" s="39">
        <f t="shared" si="48"/>
        <v>0</v>
      </c>
    </row>
    <row r="582" spans="6:10" x14ac:dyDescent="0.2">
      <c r="F582" s="47" t="s">
        <v>22</v>
      </c>
      <c r="G582" s="63" t="s">
        <v>158</v>
      </c>
      <c r="H582" s="39">
        <v>0</v>
      </c>
      <c r="I582" s="39">
        <f t="shared" si="47"/>
        <v>0</v>
      </c>
      <c r="J582" s="39">
        <f t="shared" si="48"/>
        <v>0</v>
      </c>
    </row>
    <row r="583" spans="6:10" x14ac:dyDescent="0.2">
      <c r="F583" s="47" t="s">
        <v>159</v>
      </c>
      <c r="G583" s="47" t="s">
        <v>160</v>
      </c>
      <c r="H583" s="39">
        <v>0</v>
      </c>
      <c r="I583" s="39">
        <f t="shared" si="47"/>
        <v>0</v>
      </c>
      <c r="J583" s="39">
        <f t="shared" si="48"/>
        <v>0</v>
      </c>
    </row>
    <row r="584" spans="6:10" x14ac:dyDescent="0.2">
      <c r="F584" s="47" t="s">
        <v>23</v>
      </c>
      <c r="G584" s="47" t="s">
        <v>161</v>
      </c>
      <c r="H584" s="39">
        <v>25.64</v>
      </c>
      <c r="I584" s="39">
        <f t="shared" si="47"/>
        <v>0.12819999999999998</v>
      </c>
      <c r="J584" s="39">
        <f t="shared" si="48"/>
        <v>2.5639999999999943</v>
      </c>
    </row>
    <row r="585" spans="6:10" x14ac:dyDescent="0.2">
      <c r="F585" s="47" t="s">
        <v>30</v>
      </c>
      <c r="G585" s="47" t="s">
        <v>162</v>
      </c>
      <c r="H585" s="39">
        <v>3.78</v>
      </c>
      <c r="I585" s="39">
        <f t="shared" si="47"/>
        <v>1.89E-2</v>
      </c>
      <c r="J585" s="39">
        <f t="shared" si="48"/>
        <v>0.37799999999999923</v>
      </c>
    </row>
    <row r="586" spans="6:10" x14ac:dyDescent="0.2">
      <c r="F586" s="47" t="s">
        <v>24</v>
      </c>
      <c r="G586" s="47" t="s">
        <v>163</v>
      </c>
      <c r="H586" s="39">
        <v>1.1599999999999999</v>
      </c>
      <c r="I586" s="39">
        <f t="shared" si="47"/>
        <v>5.7999999999999996E-3</v>
      </c>
      <c r="J586" s="39">
        <f t="shared" si="48"/>
        <v>0.11599999999999976</v>
      </c>
    </row>
    <row r="587" spans="6:10" x14ac:dyDescent="0.2">
      <c r="F587" s="47" t="s">
        <v>31</v>
      </c>
      <c r="G587" s="47" t="s">
        <v>165</v>
      </c>
      <c r="H587" s="39">
        <v>0</v>
      </c>
      <c r="I587" s="39">
        <f t="shared" si="47"/>
        <v>0</v>
      </c>
      <c r="J587" s="39">
        <f t="shared" si="48"/>
        <v>0</v>
      </c>
    </row>
    <row r="588" spans="6:10" x14ac:dyDescent="0.2">
      <c r="F588" s="47" t="s">
        <v>25</v>
      </c>
      <c r="G588" s="47" t="s">
        <v>167</v>
      </c>
      <c r="H588" s="39">
        <v>9.8000000000000007</v>
      </c>
      <c r="I588" s="39">
        <f t="shared" si="47"/>
        <v>4.9000000000000002E-2</v>
      </c>
      <c r="J588" s="39">
        <f t="shared" si="48"/>
        <v>0.97999999999999809</v>
      </c>
    </row>
    <row r="589" spans="6:10" x14ac:dyDescent="0.2">
      <c r="F589" s="47" t="s">
        <v>32</v>
      </c>
      <c r="G589" s="47" t="s">
        <v>168</v>
      </c>
      <c r="H589" s="39">
        <v>38.729999999999997</v>
      </c>
      <c r="I589" s="39">
        <f t="shared" si="47"/>
        <v>0.19364999999999999</v>
      </c>
      <c r="J589" s="39">
        <f t="shared" si="48"/>
        <v>3.8729999999999922</v>
      </c>
    </row>
    <row r="590" spans="6:10" x14ac:dyDescent="0.2">
      <c r="F590" s="47" t="s">
        <v>37</v>
      </c>
      <c r="G590" s="47" t="s">
        <v>170</v>
      </c>
      <c r="H590" s="39">
        <v>0</v>
      </c>
      <c r="I590" s="39">
        <f t="shared" si="47"/>
        <v>0</v>
      </c>
      <c r="J590" s="39">
        <f t="shared" si="48"/>
        <v>0</v>
      </c>
    </row>
    <row r="591" spans="6:10" x14ac:dyDescent="0.2">
      <c r="F591" s="47" t="s">
        <v>171</v>
      </c>
      <c r="G591" s="47" t="s">
        <v>172</v>
      </c>
      <c r="H591" s="39">
        <v>0</v>
      </c>
      <c r="I591" s="39">
        <f t="shared" si="47"/>
        <v>0</v>
      </c>
      <c r="J591" s="39">
        <f t="shared" si="48"/>
        <v>0</v>
      </c>
    </row>
    <row r="592" spans="6:10" x14ac:dyDescent="0.2">
      <c r="F592" s="47" t="s">
        <v>42</v>
      </c>
      <c r="G592" s="47" t="s">
        <v>174</v>
      </c>
      <c r="H592" s="39">
        <v>0</v>
      </c>
      <c r="I592" s="39">
        <f t="shared" si="47"/>
        <v>0</v>
      </c>
      <c r="J592" s="39">
        <f t="shared" si="48"/>
        <v>0</v>
      </c>
    </row>
    <row r="593" spans="6:10" x14ac:dyDescent="0.2">
      <c r="F593" s="47" t="s">
        <v>38</v>
      </c>
      <c r="G593" s="37" t="s">
        <v>175</v>
      </c>
      <c r="H593" s="39">
        <v>0</v>
      </c>
      <c r="I593" s="39">
        <f t="shared" si="47"/>
        <v>0</v>
      </c>
      <c r="J593" s="39">
        <f t="shared" si="48"/>
        <v>0</v>
      </c>
    </row>
    <row r="594" spans="6:10" x14ac:dyDescent="0.2">
      <c r="F594" s="47" t="s">
        <v>26</v>
      </c>
      <c r="G594" s="47" t="s">
        <v>177</v>
      </c>
      <c r="H594" s="39">
        <v>0</v>
      </c>
      <c r="I594" s="39">
        <f t="shared" si="47"/>
        <v>0</v>
      </c>
      <c r="J594" s="39">
        <f t="shared" si="48"/>
        <v>0</v>
      </c>
    </row>
    <row r="595" spans="6:10" x14ac:dyDescent="0.2">
      <c r="F595" s="47" t="s">
        <v>33</v>
      </c>
      <c r="G595" s="47" t="s">
        <v>178</v>
      </c>
      <c r="H595" s="39">
        <v>5.18</v>
      </c>
      <c r="I595" s="39">
        <f t="shared" si="47"/>
        <v>2.5899999999999999E-2</v>
      </c>
      <c r="J595" s="39">
        <f t="shared" si="48"/>
        <v>0.51799999999999891</v>
      </c>
    </row>
    <row r="596" spans="6:10" x14ac:dyDescent="0.2">
      <c r="F596" s="47" t="s">
        <v>39</v>
      </c>
      <c r="G596" s="47" t="s">
        <v>180</v>
      </c>
      <c r="H596" s="39">
        <v>0</v>
      </c>
      <c r="I596" s="39">
        <f t="shared" si="47"/>
        <v>0</v>
      </c>
      <c r="J596" s="39">
        <f t="shared" si="48"/>
        <v>0</v>
      </c>
    </row>
    <row r="597" spans="6:10" x14ac:dyDescent="0.2">
      <c r="F597" s="47" t="s">
        <v>40</v>
      </c>
      <c r="G597" s="47" t="s">
        <v>182</v>
      </c>
      <c r="H597" s="39">
        <v>0</v>
      </c>
      <c r="I597" s="39">
        <f t="shared" si="47"/>
        <v>0</v>
      </c>
      <c r="J597" s="39">
        <f t="shared" si="48"/>
        <v>0</v>
      </c>
    </row>
    <row r="598" spans="6:10" x14ac:dyDescent="0.2">
      <c r="F598" s="47" t="s">
        <v>43</v>
      </c>
      <c r="G598" s="47" t="s">
        <v>184</v>
      </c>
      <c r="H598" s="39">
        <v>6.79</v>
      </c>
      <c r="I598" s="39">
        <f t="shared" si="47"/>
        <v>3.3950000000000001E-2</v>
      </c>
      <c r="J598" s="39">
        <f t="shared" si="48"/>
        <v>0.67899999999999872</v>
      </c>
    </row>
    <row r="599" spans="6:10" x14ac:dyDescent="0.2">
      <c r="F599" s="68" t="s">
        <v>186</v>
      </c>
      <c r="G599" s="68" t="s">
        <v>187</v>
      </c>
      <c r="H599" s="66">
        <v>0</v>
      </c>
      <c r="I599" s="39">
        <f t="shared" si="47"/>
        <v>0</v>
      </c>
      <c r="J599" s="39">
        <f t="shared" si="48"/>
        <v>0</v>
      </c>
    </row>
    <row r="600" spans="6:10" x14ac:dyDescent="0.2">
      <c r="F600" s="47" t="s">
        <v>44</v>
      </c>
      <c r="G600" s="47" t="s">
        <v>188</v>
      </c>
      <c r="H600" s="39">
        <v>8.81</v>
      </c>
      <c r="I600" s="39">
        <f t="shared" si="47"/>
        <v>4.4050000000000006E-2</v>
      </c>
      <c r="J600" s="39">
        <f t="shared" si="48"/>
        <v>0.88099999999999834</v>
      </c>
    </row>
    <row r="601" spans="6:10" x14ac:dyDescent="0.2">
      <c r="F601" s="68" t="s">
        <v>164</v>
      </c>
      <c r="G601" s="68" t="s">
        <v>189</v>
      </c>
      <c r="H601" s="66">
        <v>0</v>
      </c>
      <c r="I601" s="39">
        <f t="shared" si="47"/>
        <v>0</v>
      </c>
      <c r="J601" s="39">
        <f t="shared" si="48"/>
        <v>0</v>
      </c>
    </row>
    <row r="602" spans="6:10" x14ac:dyDescent="0.2">
      <c r="F602" s="47" t="s">
        <v>166</v>
      </c>
      <c r="G602" s="47" t="s">
        <v>190</v>
      </c>
      <c r="H602" s="39">
        <v>0</v>
      </c>
      <c r="I602" s="39">
        <f t="shared" si="47"/>
        <v>0</v>
      </c>
      <c r="J602" s="39">
        <f t="shared" si="48"/>
        <v>0</v>
      </c>
    </row>
    <row r="603" spans="6:10" x14ac:dyDescent="0.2">
      <c r="F603" s="47" t="s">
        <v>34</v>
      </c>
      <c r="G603" s="47" t="s">
        <v>191</v>
      </c>
      <c r="H603" s="39">
        <v>0</v>
      </c>
      <c r="I603" s="39">
        <f t="shared" si="47"/>
        <v>0</v>
      </c>
      <c r="J603" s="39">
        <f t="shared" si="48"/>
        <v>0</v>
      </c>
    </row>
    <row r="604" spans="6:10" x14ac:dyDescent="0.2">
      <c r="F604" s="47" t="s">
        <v>27</v>
      </c>
      <c r="G604" s="47" t="s">
        <v>192</v>
      </c>
      <c r="H604" s="39">
        <v>5.12</v>
      </c>
      <c r="I604" s="39">
        <f t="shared" si="47"/>
        <v>2.5600000000000001E-2</v>
      </c>
      <c r="J604" s="39">
        <f t="shared" si="48"/>
        <v>0.51199999999999901</v>
      </c>
    </row>
    <row r="605" spans="6:10" x14ac:dyDescent="0.2">
      <c r="F605" s="47" t="s">
        <v>45</v>
      </c>
      <c r="G605" s="47" t="s">
        <v>193</v>
      </c>
      <c r="H605" s="39">
        <v>70.180000000000007</v>
      </c>
      <c r="I605" s="39">
        <f t="shared" si="47"/>
        <v>0.35090000000000005</v>
      </c>
      <c r="J605" s="39">
        <f t="shared" si="48"/>
        <v>7.0179999999999865</v>
      </c>
    </row>
    <row r="606" spans="6:10" x14ac:dyDescent="0.2">
      <c r="F606" s="47" t="s">
        <v>169</v>
      </c>
      <c r="G606" s="47" t="s">
        <v>194</v>
      </c>
      <c r="H606" s="39">
        <v>0</v>
      </c>
      <c r="I606" s="39">
        <f t="shared" si="47"/>
        <v>0</v>
      </c>
      <c r="J606" s="39">
        <f t="shared" si="48"/>
        <v>0</v>
      </c>
    </row>
    <row r="607" spans="6:10" x14ac:dyDescent="0.2">
      <c r="F607" s="47" t="s">
        <v>35</v>
      </c>
      <c r="G607" s="47" t="s">
        <v>196</v>
      </c>
      <c r="H607" s="39">
        <v>0</v>
      </c>
      <c r="I607" s="39">
        <f t="shared" si="47"/>
        <v>0</v>
      </c>
      <c r="J607" s="39">
        <f t="shared" si="48"/>
        <v>0</v>
      </c>
    </row>
    <row r="608" spans="6:10" x14ac:dyDescent="0.2">
      <c r="H608" s="39" t="s">
        <v>221</v>
      </c>
      <c r="I608" s="39">
        <f>SUM(I574:I607)</f>
        <v>0.88139999999999996</v>
      </c>
    </row>
    <row r="610" spans="6:10" ht="16" x14ac:dyDescent="0.2">
      <c r="F610" s="89"/>
      <c r="G610" s="89"/>
      <c r="H610" s="41">
        <v>343</v>
      </c>
      <c r="I610" s="89"/>
      <c r="J610" s="89"/>
    </row>
    <row r="611" spans="6:10" x14ac:dyDescent="0.2">
      <c r="F611" s="47" t="s">
        <v>216</v>
      </c>
      <c r="G611" s="47" t="s">
        <v>217</v>
      </c>
      <c r="H611" s="39" t="s">
        <v>218</v>
      </c>
      <c r="I611" s="39" t="s">
        <v>219</v>
      </c>
      <c r="J611" s="39" t="s">
        <v>220</v>
      </c>
    </row>
    <row r="612" spans="6:10" x14ac:dyDescent="0.2">
      <c r="F612" s="47" t="s">
        <v>147</v>
      </c>
      <c r="G612" s="47" t="s">
        <v>148</v>
      </c>
      <c r="H612" s="39">
        <v>0</v>
      </c>
      <c r="I612" s="39">
        <f t="shared" ref="I612:I645" si="49">(H612*5)/1000</f>
        <v>0</v>
      </c>
      <c r="J612" s="39">
        <f t="shared" ref="J612:J645" si="50">I612/$C$20</f>
        <v>0</v>
      </c>
    </row>
    <row r="613" spans="6:10" x14ac:dyDescent="0.2">
      <c r="F613" s="47" t="s">
        <v>18</v>
      </c>
      <c r="G613" s="63" t="s">
        <v>149</v>
      </c>
      <c r="H613" s="39">
        <v>0</v>
      </c>
      <c r="I613" s="39">
        <f t="shared" si="49"/>
        <v>0</v>
      </c>
      <c r="J613" s="39">
        <f t="shared" si="50"/>
        <v>0</v>
      </c>
    </row>
    <row r="614" spans="6:10" x14ac:dyDescent="0.2">
      <c r="F614" s="47" t="s">
        <v>150</v>
      </c>
      <c r="G614" s="63" t="s">
        <v>151</v>
      </c>
      <c r="H614" s="39">
        <v>0</v>
      </c>
      <c r="I614" s="39">
        <f t="shared" si="49"/>
        <v>0</v>
      </c>
      <c r="J614" s="39">
        <f t="shared" si="50"/>
        <v>0</v>
      </c>
    </row>
    <row r="615" spans="6:10" x14ac:dyDescent="0.2">
      <c r="F615" s="47" t="s">
        <v>152</v>
      </c>
      <c r="G615" s="63" t="s">
        <v>153</v>
      </c>
      <c r="H615" s="39">
        <v>0</v>
      </c>
      <c r="I615" s="39">
        <f t="shared" si="49"/>
        <v>0</v>
      </c>
      <c r="J615" s="39">
        <f t="shared" si="50"/>
        <v>0</v>
      </c>
    </row>
    <row r="616" spans="6:10" x14ac:dyDescent="0.2">
      <c r="F616" s="47" t="s">
        <v>19</v>
      </c>
      <c r="G616" s="63" t="s">
        <v>154</v>
      </c>
      <c r="H616" s="39">
        <v>0</v>
      </c>
      <c r="I616" s="39">
        <f t="shared" si="49"/>
        <v>0</v>
      </c>
      <c r="J616" s="39">
        <f t="shared" si="50"/>
        <v>0</v>
      </c>
    </row>
    <row r="617" spans="6:10" x14ac:dyDescent="0.2">
      <c r="F617" s="67" t="s">
        <v>20</v>
      </c>
      <c r="G617" s="65" t="s">
        <v>155</v>
      </c>
      <c r="H617" s="39">
        <v>0</v>
      </c>
      <c r="I617" s="79">
        <f t="shared" si="49"/>
        <v>0</v>
      </c>
      <c r="J617" s="39">
        <f t="shared" si="50"/>
        <v>0</v>
      </c>
    </row>
    <row r="618" spans="6:10" x14ac:dyDescent="0.2">
      <c r="F618" s="47" t="s">
        <v>21</v>
      </c>
      <c r="G618" s="63" t="s">
        <v>156</v>
      </c>
      <c r="H618" s="39">
        <v>0</v>
      </c>
      <c r="I618" s="39">
        <f t="shared" si="49"/>
        <v>0</v>
      </c>
      <c r="J618" s="39">
        <f t="shared" si="50"/>
        <v>0</v>
      </c>
    </row>
    <row r="619" spans="6:10" x14ac:dyDescent="0.2">
      <c r="F619" s="47" t="s">
        <v>29</v>
      </c>
      <c r="G619" s="63" t="s">
        <v>157</v>
      </c>
      <c r="H619" s="39">
        <v>0</v>
      </c>
      <c r="I619" s="39">
        <f t="shared" si="49"/>
        <v>0</v>
      </c>
      <c r="J619" s="39">
        <f t="shared" si="50"/>
        <v>0</v>
      </c>
    </row>
    <row r="620" spans="6:10" x14ac:dyDescent="0.2">
      <c r="F620" s="47" t="s">
        <v>22</v>
      </c>
      <c r="G620" s="63" t="s">
        <v>158</v>
      </c>
      <c r="H620" s="39">
        <v>0</v>
      </c>
      <c r="I620" s="39">
        <f t="shared" si="49"/>
        <v>0</v>
      </c>
      <c r="J620" s="39">
        <f t="shared" si="50"/>
        <v>0</v>
      </c>
    </row>
    <row r="621" spans="6:10" x14ac:dyDescent="0.2">
      <c r="F621" s="47" t="s">
        <v>159</v>
      </c>
      <c r="G621" s="47" t="s">
        <v>160</v>
      </c>
      <c r="H621" s="39">
        <v>0</v>
      </c>
      <c r="I621" s="39">
        <f t="shared" si="49"/>
        <v>0</v>
      </c>
      <c r="J621" s="39">
        <f t="shared" si="50"/>
        <v>0</v>
      </c>
    </row>
    <row r="622" spans="6:10" x14ac:dyDescent="0.2">
      <c r="F622" s="47" t="s">
        <v>23</v>
      </c>
      <c r="G622" s="47" t="s">
        <v>161</v>
      </c>
      <c r="H622" s="39">
        <v>2.3199999999999998</v>
      </c>
      <c r="I622" s="39">
        <f t="shared" si="49"/>
        <v>1.1599999999999999E-2</v>
      </c>
      <c r="J622" s="39">
        <f t="shared" si="50"/>
        <v>0.23199999999999951</v>
      </c>
    </row>
    <row r="623" spans="6:10" x14ac:dyDescent="0.2">
      <c r="F623" s="47" t="s">
        <v>30</v>
      </c>
      <c r="G623" s="47" t="s">
        <v>162</v>
      </c>
      <c r="H623" s="39">
        <v>0</v>
      </c>
      <c r="I623" s="39">
        <f t="shared" si="49"/>
        <v>0</v>
      </c>
      <c r="J623" s="39">
        <f t="shared" si="50"/>
        <v>0</v>
      </c>
    </row>
    <row r="624" spans="6:10" x14ac:dyDescent="0.2">
      <c r="F624" s="47" t="s">
        <v>24</v>
      </c>
      <c r="G624" s="47" t="s">
        <v>163</v>
      </c>
      <c r="H624" s="39">
        <v>0</v>
      </c>
      <c r="I624" s="39">
        <f t="shared" si="49"/>
        <v>0</v>
      </c>
      <c r="J624" s="39">
        <f t="shared" si="50"/>
        <v>0</v>
      </c>
    </row>
    <row r="625" spans="6:10" x14ac:dyDescent="0.2">
      <c r="F625" s="47" t="s">
        <v>31</v>
      </c>
      <c r="G625" s="47" t="s">
        <v>165</v>
      </c>
      <c r="H625" s="39">
        <v>0</v>
      </c>
      <c r="I625" s="39">
        <f t="shared" si="49"/>
        <v>0</v>
      </c>
      <c r="J625" s="39">
        <f t="shared" si="50"/>
        <v>0</v>
      </c>
    </row>
    <row r="626" spans="6:10" x14ac:dyDescent="0.2">
      <c r="F626" s="47" t="s">
        <v>25</v>
      </c>
      <c r="G626" s="47" t="s">
        <v>167</v>
      </c>
      <c r="H626" s="39">
        <v>1.62</v>
      </c>
      <c r="I626" s="39">
        <f t="shared" si="49"/>
        <v>8.1000000000000013E-3</v>
      </c>
      <c r="J626" s="39">
        <f t="shared" si="50"/>
        <v>0.1619999999999997</v>
      </c>
    </row>
    <row r="627" spans="6:10" x14ac:dyDescent="0.2">
      <c r="F627" s="47" t="s">
        <v>32</v>
      </c>
      <c r="G627" s="47" t="s">
        <v>168</v>
      </c>
      <c r="H627" s="39">
        <v>0</v>
      </c>
      <c r="I627" s="39">
        <f t="shared" si="49"/>
        <v>0</v>
      </c>
      <c r="J627" s="39">
        <f t="shared" si="50"/>
        <v>0</v>
      </c>
    </row>
    <row r="628" spans="6:10" x14ac:dyDescent="0.2">
      <c r="F628" s="47" t="s">
        <v>37</v>
      </c>
      <c r="G628" s="47" t="s">
        <v>170</v>
      </c>
      <c r="H628" s="39">
        <v>0</v>
      </c>
      <c r="I628" s="39">
        <f t="shared" si="49"/>
        <v>0</v>
      </c>
      <c r="J628" s="39">
        <f t="shared" si="50"/>
        <v>0</v>
      </c>
    </row>
    <row r="629" spans="6:10" x14ac:dyDescent="0.2">
      <c r="F629" s="47" t="s">
        <v>171</v>
      </c>
      <c r="G629" s="47" t="s">
        <v>172</v>
      </c>
      <c r="H629" s="39">
        <v>0</v>
      </c>
      <c r="I629" s="39">
        <f t="shared" si="49"/>
        <v>0</v>
      </c>
      <c r="J629" s="39">
        <f t="shared" si="50"/>
        <v>0</v>
      </c>
    </row>
    <row r="630" spans="6:10" x14ac:dyDescent="0.2">
      <c r="F630" s="47" t="s">
        <v>42</v>
      </c>
      <c r="G630" s="47" t="s">
        <v>174</v>
      </c>
      <c r="H630" s="39">
        <v>0</v>
      </c>
      <c r="I630" s="39">
        <f t="shared" si="49"/>
        <v>0</v>
      </c>
      <c r="J630" s="39">
        <f t="shared" si="50"/>
        <v>0</v>
      </c>
    </row>
    <row r="631" spans="6:10" x14ac:dyDescent="0.2">
      <c r="F631" s="67" t="s">
        <v>38</v>
      </c>
      <c r="G631" s="37" t="s">
        <v>175</v>
      </c>
      <c r="H631" s="39">
        <v>0</v>
      </c>
      <c r="I631" s="39">
        <f t="shared" si="49"/>
        <v>0</v>
      </c>
      <c r="J631" s="39">
        <f t="shared" si="50"/>
        <v>0</v>
      </c>
    </row>
    <row r="632" spans="6:10" x14ac:dyDescent="0.2">
      <c r="F632" s="47" t="s">
        <v>26</v>
      </c>
      <c r="G632" s="47" t="s">
        <v>177</v>
      </c>
      <c r="H632" s="39">
        <v>0</v>
      </c>
      <c r="I632" s="39">
        <f t="shared" si="49"/>
        <v>0</v>
      </c>
      <c r="J632" s="39">
        <f t="shared" si="50"/>
        <v>0</v>
      </c>
    </row>
    <row r="633" spans="6:10" x14ac:dyDescent="0.2">
      <c r="F633" s="47" t="s">
        <v>33</v>
      </c>
      <c r="G633" s="47" t="s">
        <v>178</v>
      </c>
      <c r="H633" s="39">
        <v>0</v>
      </c>
      <c r="I633" s="39">
        <f t="shared" si="49"/>
        <v>0</v>
      </c>
      <c r="J633" s="39">
        <f t="shared" si="50"/>
        <v>0</v>
      </c>
    </row>
    <row r="634" spans="6:10" x14ac:dyDescent="0.2">
      <c r="F634" s="47" t="s">
        <v>39</v>
      </c>
      <c r="G634" s="47" t="s">
        <v>180</v>
      </c>
      <c r="H634" s="39">
        <v>0</v>
      </c>
      <c r="I634" s="39">
        <f t="shared" si="49"/>
        <v>0</v>
      </c>
      <c r="J634" s="39">
        <f t="shared" si="50"/>
        <v>0</v>
      </c>
    </row>
    <row r="635" spans="6:10" x14ac:dyDescent="0.2">
      <c r="F635" s="47" t="s">
        <v>40</v>
      </c>
      <c r="G635" s="47" t="s">
        <v>182</v>
      </c>
      <c r="H635" s="39">
        <v>0</v>
      </c>
      <c r="I635" s="39">
        <f t="shared" si="49"/>
        <v>0</v>
      </c>
      <c r="J635" s="39">
        <f t="shared" si="50"/>
        <v>0</v>
      </c>
    </row>
    <row r="636" spans="6:10" x14ac:dyDescent="0.2">
      <c r="F636" s="67" t="s">
        <v>43</v>
      </c>
      <c r="G636" s="47" t="s">
        <v>184</v>
      </c>
      <c r="H636" s="39">
        <v>0</v>
      </c>
      <c r="I636" s="39">
        <f t="shared" si="49"/>
        <v>0</v>
      </c>
      <c r="J636" s="39">
        <f t="shared" si="50"/>
        <v>0</v>
      </c>
    </row>
    <row r="637" spans="6:10" x14ac:dyDescent="0.2">
      <c r="F637" s="68" t="s">
        <v>186</v>
      </c>
      <c r="G637" s="68" t="s">
        <v>187</v>
      </c>
      <c r="H637" s="39">
        <v>0</v>
      </c>
      <c r="I637" s="39">
        <f t="shared" si="49"/>
        <v>0</v>
      </c>
      <c r="J637" s="39">
        <f t="shared" si="50"/>
        <v>0</v>
      </c>
    </row>
    <row r="638" spans="6:10" x14ac:dyDescent="0.2">
      <c r="F638" s="47" t="s">
        <v>44</v>
      </c>
      <c r="G638" s="47" t="s">
        <v>188</v>
      </c>
      <c r="H638" s="39">
        <v>0</v>
      </c>
      <c r="I638" s="39">
        <f t="shared" si="49"/>
        <v>0</v>
      </c>
      <c r="J638" s="39">
        <f t="shared" si="50"/>
        <v>0</v>
      </c>
    </row>
    <row r="639" spans="6:10" x14ac:dyDescent="0.2">
      <c r="F639" s="68" t="s">
        <v>164</v>
      </c>
      <c r="G639" s="68" t="s">
        <v>189</v>
      </c>
      <c r="H639" s="39">
        <v>0</v>
      </c>
      <c r="I639" s="39">
        <f t="shared" si="49"/>
        <v>0</v>
      </c>
      <c r="J639" s="39">
        <f t="shared" si="50"/>
        <v>0</v>
      </c>
    </row>
    <row r="640" spans="6:10" x14ac:dyDescent="0.2">
      <c r="F640" s="47" t="s">
        <v>166</v>
      </c>
      <c r="G640" s="47" t="s">
        <v>190</v>
      </c>
      <c r="H640" s="39">
        <v>0</v>
      </c>
      <c r="I640" s="39">
        <f t="shared" si="49"/>
        <v>0</v>
      </c>
      <c r="J640" s="39">
        <f t="shared" si="50"/>
        <v>0</v>
      </c>
    </row>
    <row r="641" spans="6:10" x14ac:dyDescent="0.2">
      <c r="F641" s="47" t="s">
        <v>34</v>
      </c>
      <c r="G641" s="47" t="s">
        <v>191</v>
      </c>
      <c r="H641" s="39">
        <v>0</v>
      </c>
      <c r="I641" s="39">
        <f t="shared" si="49"/>
        <v>0</v>
      </c>
      <c r="J641" s="39">
        <f t="shared" si="50"/>
        <v>0</v>
      </c>
    </row>
    <row r="642" spans="6:10" x14ac:dyDescent="0.2">
      <c r="F642" s="47" t="s">
        <v>27</v>
      </c>
      <c r="G642" s="47" t="s">
        <v>192</v>
      </c>
      <c r="H642" s="39">
        <v>0</v>
      </c>
      <c r="I642" s="39">
        <f t="shared" si="49"/>
        <v>0</v>
      </c>
      <c r="J642" s="39">
        <f t="shared" si="50"/>
        <v>0</v>
      </c>
    </row>
    <row r="643" spans="6:10" x14ac:dyDescent="0.2">
      <c r="F643" s="47" t="s">
        <v>45</v>
      </c>
      <c r="G643" s="47" t="s">
        <v>193</v>
      </c>
      <c r="H643" s="39">
        <v>0</v>
      </c>
      <c r="I643" s="39">
        <f t="shared" si="49"/>
        <v>0</v>
      </c>
      <c r="J643" s="39">
        <f t="shared" si="50"/>
        <v>0</v>
      </c>
    </row>
    <row r="644" spans="6:10" x14ac:dyDescent="0.2">
      <c r="F644" s="47" t="s">
        <v>169</v>
      </c>
      <c r="G644" s="47" t="s">
        <v>194</v>
      </c>
      <c r="H644" s="39">
        <v>0</v>
      </c>
      <c r="I644" s="39">
        <f t="shared" si="49"/>
        <v>0</v>
      </c>
      <c r="J644" s="39">
        <f t="shared" si="50"/>
        <v>0</v>
      </c>
    </row>
    <row r="645" spans="6:10" x14ac:dyDescent="0.2">
      <c r="F645" s="47" t="s">
        <v>35</v>
      </c>
      <c r="G645" s="47" t="s">
        <v>196</v>
      </c>
      <c r="H645" s="39">
        <v>0</v>
      </c>
      <c r="I645" s="39">
        <f t="shared" si="49"/>
        <v>0</v>
      </c>
      <c r="J645" s="39">
        <f t="shared" si="50"/>
        <v>0</v>
      </c>
    </row>
    <row r="646" spans="6:10" x14ac:dyDescent="0.2">
      <c r="H646" s="39" t="s">
        <v>221</v>
      </c>
      <c r="I646" s="39">
        <f>SUM(I612:I645)</f>
        <v>1.9700000000000002E-2</v>
      </c>
    </row>
    <row r="648" spans="6:10" ht="16" x14ac:dyDescent="0.2">
      <c r="F648" s="89"/>
      <c r="G648" s="89"/>
      <c r="H648" s="41">
        <v>630</v>
      </c>
      <c r="I648" s="89"/>
      <c r="J648" s="89"/>
    </row>
    <row r="649" spans="6:10" x14ac:dyDescent="0.2">
      <c r="F649" s="47" t="s">
        <v>216</v>
      </c>
      <c r="G649" s="47" t="s">
        <v>217</v>
      </c>
      <c r="H649" s="39" t="s">
        <v>218</v>
      </c>
      <c r="I649" s="39" t="s">
        <v>219</v>
      </c>
      <c r="J649" s="39" t="s">
        <v>220</v>
      </c>
    </row>
    <row r="650" spans="6:10" x14ac:dyDescent="0.2">
      <c r="F650" s="47" t="s">
        <v>147</v>
      </c>
      <c r="G650" s="47" t="s">
        <v>148</v>
      </c>
      <c r="H650" s="39">
        <v>0</v>
      </c>
      <c r="I650" s="39">
        <f t="shared" ref="I650:I683" si="51">(H650*5)/1000</f>
        <v>0</v>
      </c>
      <c r="J650" s="39">
        <f t="shared" ref="J650:J683" si="52">I650/$C$21</f>
        <v>0</v>
      </c>
    </row>
    <row r="651" spans="6:10" x14ac:dyDescent="0.2">
      <c r="F651" s="47" t="s">
        <v>18</v>
      </c>
      <c r="G651" s="63" t="s">
        <v>149</v>
      </c>
      <c r="H651" s="39">
        <v>0</v>
      </c>
      <c r="I651" s="39">
        <f t="shared" si="51"/>
        <v>0</v>
      </c>
      <c r="J651" s="39">
        <f t="shared" si="52"/>
        <v>0</v>
      </c>
    </row>
    <row r="652" spans="6:10" x14ac:dyDescent="0.2">
      <c r="F652" s="47" t="s">
        <v>150</v>
      </c>
      <c r="G652" s="63" t="s">
        <v>151</v>
      </c>
      <c r="H652" s="39">
        <v>0</v>
      </c>
      <c r="I652" s="39">
        <f t="shared" si="51"/>
        <v>0</v>
      </c>
      <c r="J652" s="39">
        <f t="shared" si="52"/>
        <v>0</v>
      </c>
    </row>
    <row r="653" spans="6:10" x14ac:dyDescent="0.2">
      <c r="F653" s="47" t="s">
        <v>152</v>
      </c>
      <c r="G653" s="63" t="s">
        <v>153</v>
      </c>
      <c r="H653" s="39">
        <v>0</v>
      </c>
      <c r="I653" s="39">
        <f t="shared" si="51"/>
        <v>0</v>
      </c>
      <c r="J653" s="39">
        <f t="shared" si="52"/>
        <v>0</v>
      </c>
    </row>
    <row r="654" spans="6:10" x14ac:dyDescent="0.2">
      <c r="F654" s="47" t="s">
        <v>19</v>
      </c>
      <c r="G654" s="63" t="s">
        <v>154</v>
      </c>
      <c r="H654" s="39">
        <v>0</v>
      </c>
      <c r="I654" s="39">
        <f t="shared" si="51"/>
        <v>0</v>
      </c>
      <c r="J654" s="39">
        <f t="shared" si="52"/>
        <v>0</v>
      </c>
    </row>
    <row r="655" spans="6:10" x14ac:dyDescent="0.2">
      <c r="F655" s="67" t="s">
        <v>20</v>
      </c>
      <c r="G655" s="65" t="s">
        <v>155</v>
      </c>
      <c r="H655" s="39">
        <v>0</v>
      </c>
      <c r="I655" s="39">
        <f t="shared" si="51"/>
        <v>0</v>
      </c>
      <c r="J655" s="39">
        <f t="shared" si="52"/>
        <v>0</v>
      </c>
    </row>
    <row r="656" spans="6:10" x14ac:dyDescent="0.2">
      <c r="F656" s="47" t="s">
        <v>21</v>
      </c>
      <c r="G656" s="63" t="s">
        <v>156</v>
      </c>
      <c r="H656" s="39">
        <v>1.24</v>
      </c>
      <c r="I656" s="39">
        <f t="shared" si="51"/>
        <v>6.1999999999999998E-3</v>
      </c>
      <c r="J656" s="39">
        <f t="shared" si="52"/>
        <v>0.12399999999999975</v>
      </c>
    </row>
    <row r="657" spans="6:10" x14ac:dyDescent="0.2">
      <c r="F657" s="47" t="s">
        <v>29</v>
      </c>
      <c r="G657" s="63" t="s">
        <v>157</v>
      </c>
      <c r="H657" s="39">
        <v>0</v>
      </c>
      <c r="I657" s="39">
        <f t="shared" si="51"/>
        <v>0</v>
      </c>
      <c r="J657" s="39">
        <f t="shared" si="52"/>
        <v>0</v>
      </c>
    </row>
    <row r="658" spans="6:10" x14ac:dyDescent="0.2">
      <c r="F658" s="47" t="s">
        <v>22</v>
      </c>
      <c r="G658" s="63" t="s">
        <v>158</v>
      </c>
      <c r="H658" s="39">
        <v>0</v>
      </c>
      <c r="I658" s="39">
        <f t="shared" si="51"/>
        <v>0</v>
      </c>
      <c r="J658" s="39">
        <f t="shared" si="52"/>
        <v>0</v>
      </c>
    </row>
    <row r="659" spans="6:10" x14ac:dyDescent="0.2">
      <c r="F659" s="47" t="s">
        <v>159</v>
      </c>
      <c r="G659" s="47" t="s">
        <v>160</v>
      </c>
      <c r="H659" s="39">
        <v>0</v>
      </c>
      <c r="I659" s="39">
        <f t="shared" si="51"/>
        <v>0</v>
      </c>
      <c r="J659" s="39">
        <f t="shared" si="52"/>
        <v>0</v>
      </c>
    </row>
    <row r="660" spans="6:10" x14ac:dyDescent="0.2">
      <c r="F660" s="47" t="s">
        <v>23</v>
      </c>
      <c r="G660" s="47" t="s">
        <v>161</v>
      </c>
      <c r="H660" s="39">
        <v>12.11</v>
      </c>
      <c r="I660" s="39">
        <f t="shared" si="51"/>
        <v>6.055E-2</v>
      </c>
      <c r="J660" s="39">
        <f t="shared" si="52"/>
        <v>1.2109999999999976</v>
      </c>
    </row>
    <row r="661" spans="6:10" x14ac:dyDescent="0.2">
      <c r="F661" s="47" t="s">
        <v>30</v>
      </c>
      <c r="G661" s="47" t="s">
        <v>162</v>
      </c>
      <c r="H661" s="39">
        <v>2.57</v>
      </c>
      <c r="I661" s="39">
        <f t="shared" si="51"/>
        <v>1.285E-2</v>
      </c>
      <c r="J661" s="39">
        <f t="shared" si="52"/>
        <v>0.25699999999999951</v>
      </c>
    </row>
    <row r="662" spans="6:10" x14ac:dyDescent="0.2">
      <c r="F662" s="47" t="s">
        <v>24</v>
      </c>
      <c r="G662" s="47" t="s">
        <v>163</v>
      </c>
      <c r="H662" s="39">
        <v>0</v>
      </c>
      <c r="I662" s="39">
        <f t="shared" si="51"/>
        <v>0</v>
      </c>
      <c r="J662" s="39">
        <f t="shared" si="52"/>
        <v>0</v>
      </c>
    </row>
    <row r="663" spans="6:10" x14ac:dyDescent="0.2">
      <c r="F663" s="47" t="s">
        <v>31</v>
      </c>
      <c r="G663" s="47" t="s">
        <v>165</v>
      </c>
      <c r="H663" s="39">
        <v>0</v>
      </c>
      <c r="I663" s="39">
        <f t="shared" si="51"/>
        <v>0</v>
      </c>
      <c r="J663" s="39">
        <f t="shared" si="52"/>
        <v>0</v>
      </c>
    </row>
    <row r="664" spans="6:10" x14ac:dyDescent="0.2">
      <c r="F664" s="47" t="s">
        <v>25</v>
      </c>
      <c r="G664" s="47" t="s">
        <v>167</v>
      </c>
      <c r="H664" s="39">
        <v>5.24</v>
      </c>
      <c r="I664" s="39">
        <f t="shared" si="51"/>
        <v>2.6200000000000005E-2</v>
      </c>
      <c r="J664" s="39">
        <f t="shared" si="52"/>
        <v>0.52399999999999902</v>
      </c>
    </row>
    <row r="665" spans="6:10" x14ac:dyDescent="0.2">
      <c r="F665" s="47" t="s">
        <v>32</v>
      </c>
      <c r="G665" s="47" t="s">
        <v>168</v>
      </c>
      <c r="H665" s="39">
        <v>16.55</v>
      </c>
      <c r="I665" s="39">
        <f t="shared" si="51"/>
        <v>8.2750000000000004E-2</v>
      </c>
      <c r="J665" s="39">
        <f t="shared" si="52"/>
        <v>1.6549999999999967</v>
      </c>
    </row>
    <row r="666" spans="6:10" x14ac:dyDescent="0.2">
      <c r="F666" s="47" t="s">
        <v>37</v>
      </c>
      <c r="G666" s="47" t="s">
        <v>170</v>
      </c>
      <c r="H666" s="39">
        <v>0</v>
      </c>
      <c r="I666" s="39">
        <f t="shared" si="51"/>
        <v>0</v>
      </c>
      <c r="J666" s="39">
        <f t="shared" si="52"/>
        <v>0</v>
      </c>
    </row>
    <row r="667" spans="6:10" x14ac:dyDescent="0.2">
      <c r="F667" s="47" t="s">
        <v>171</v>
      </c>
      <c r="G667" s="47" t="s">
        <v>172</v>
      </c>
      <c r="H667" s="39">
        <v>0</v>
      </c>
      <c r="I667" s="39">
        <f t="shared" si="51"/>
        <v>0</v>
      </c>
      <c r="J667" s="39">
        <f t="shared" si="52"/>
        <v>0</v>
      </c>
    </row>
    <row r="668" spans="6:10" x14ac:dyDescent="0.2">
      <c r="F668" s="47" t="s">
        <v>42</v>
      </c>
      <c r="G668" s="47" t="s">
        <v>174</v>
      </c>
      <c r="H668" s="39">
        <v>0</v>
      </c>
      <c r="I668" s="39">
        <f t="shared" si="51"/>
        <v>0</v>
      </c>
      <c r="J668" s="39">
        <f t="shared" si="52"/>
        <v>0</v>
      </c>
    </row>
    <row r="669" spans="6:10" x14ac:dyDescent="0.2">
      <c r="F669" s="67" t="s">
        <v>38</v>
      </c>
      <c r="G669" s="37" t="s">
        <v>175</v>
      </c>
      <c r="H669" s="39">
        <v>0</v>
      </c>
      <c r="I669" s="39">
        <f t="shared" si="51"/>
        <v>0</v>
      </c>
      <c r="J669" s="39">
        <f t="shared" si="52"/>
        <v>0</v>
      </c>
    </row>
    <row r="670" spans="6:10" x14ac:dyDescent="0.2">
      <c r="F670" s="47" t="s">
        <v>26</v>
      </c>
      <c r="G670" s="47" t="s">
        <v>177</v>
      </c>
      <c r="H670" s="39">
        <v>0</v>
      </c>
      <c r="I670" s="39">
        <f t="shared" si="51"/>
        <v>0</v>
      </c>
      <c r="J670" s="39">
        <f t="shared" si="52"/>
        <v>0</v>
      </c>
    </row>
    <row r="671" spans="6:10" x14ac:dyDescent="0.2">
      <c r="F671" s="47" t="s">
        <v>33</v>
      </c>
      <c r="G671" s="47" t="s">
        <v>178</v>
      </c>
      <c r="H671" s="39">
        <v>1.9</v>
      </c>
      <c r="I671" s="39">
        <f t="shared" si="51"/>
        <v>9.4999999999999998E-3</v>
      </c>
      <c r="J671" s="39">
        <f t="shared" si="52"/>
        <v>0.18999999999999961</v>
      </c>
    </row>
    <row r="672" spans="6:10" x14ac:dyDescent="0.2">
      <c r="F672" s="47" t="s">
        <v>39</v>
      </c>
      <c r="G672" s="47" t="s">
        <v>180</v>
      </c>
      <c r="H672" s="39">
        <v>0</v>
      </c>
      <c r="I672" s="39">
        <f t="shared" si="51"/>
        <v>0</v>
      </c>
      <c r="J672" s="39">
        <f t="shared" si="52"/>
        <v>0</v>
      </c>
    </row>
    <row r="673" spans="6:10" x14ac:dyDescent="0.2">
      <c r="F673" s="47" t="s">
        <v>40</v>
      </c>
      <c r="G673" s="47" t="s">
        <v>182</v>
      </c>
      <c r="H673" s="39">
        <v>0</v>
      </c>
      <c r="I673" s="39">
        <f t="shared" si="51"/>
        <v>0</v>
      </c>
      <c r="J673" s="39">
        <f t="shared" si="52"/>
        <v>0</v>
      </c>
    </row>
    <row r="674" spans="6:10" x14ac:dyDescent="0.2">
      <c r="F674" s="67" t="s">
        <v>43</v>
      </c>
      <c r="G674" s="47" t="s">
        <v>184</v>
      </c>
      <c r="H674" s="39">
        <v>1.83</v>
      </c>
      <c r="I674" s="39">
        <f t="shared" si="51"/>
        <v>9.1500000000000001E-3</v>
      </c>
      <c r="J674" s="39">
        <f t="shared" si="52"/>
        <v>0.18299999999999964</v>
      </c>
    </row>
    <row r="675" spans="6:10" x14ac:dyDescent="0.2">
      <c r="F675" s="68" t="s">
        <v>186</v>
      </c>
      <c r="G675" s="68" t="s">
        <v>187</v>
      </c>
      <c r="H675" s="66">
        <v>0</v>
      </c>
      <c r="I675" s="39">
        <f t="shared" si="51"/>
        <v>0</v>
      </c>
      <c r="J675" s="39">
        <f t="shared" si="52"/>
        <v>0</v>
      </c>
    </row>
    <row r="676" spans="6:10" x14ac:dyDescent="0.2">
      <c r="F676" s="47" t="s">
        <v>44</v>
      </c>
      <c r="G676" s="47" t="s">
        <v>188</v>
      </c>
      <c r="H676" s="39">
        <v>2.86</v>
      </c>
      <c r="I676" s="39">
        <f t="shared" si="51"/>
        <v>1.4299999999999998E-2</v>
      </c>
      <c r="J676" s="39">
        <f t="shared" si="52"/>
        <v>0.28599999999999942</v>
      </c>
    </row>
    <row r="677" spans="6:10" x14ac:dyDescent="0.2">
      <c r="F677" s="68" t="s">
        <v>164</v>
      </c>
      <c r="G677" s="68" t="s">
        <v>189</v>
      </c>
      <c r="H677" s="66">
        <v>0</v>
      </c>
      <c r="I677" s="39">
        <f t="shared" si="51"/>
        <v>0</v>
      </c>
      <c r="J677" s="39">
        <f t="shared" si="52"/>
        <v>0</v>
      </c>
    </row>
    <row r="678" spans="6:10" x14ac:dyDescent="0.2">
      <c r="F678" s="47" t="s">
        <v>166</v>
      </c>
      <c r="G678" s="47" t="s">
        <v>190</v>
      </c>
      <c r="H678" s="39">
        <v>0</v>
      </c>
      <c r="I678" s="39">
        <f t="shared" si="51"/>
        <v>0</v>
      </c>
      <c r="J678" s="39">
        <f t="shared" si="52"/>
        <v>0</v>
      </c>
    </row>
    <row r="679" spans="6:10" x14ac:dyDescent="0.2">
      <c r="F679" s="47" t="s">
        <v>34</v>
      </c>
      <c r="G679" s="47" t="s">
        <v>191</v>
      </c>
      <c r="H679" s="39">
        <v>0</v>
      </c>
      <c r="I679" s="39">
        <f t="shared" si="51"/>
        <v>0</v>
      </c>
      <c r="J679" s="39">
        <f t="shared" si="52"/>
        <v>0</v>
      </c>
    </row>
    <row r="680" spans="6:10" x14ac:dyDescent="0.2">
      <c r="F680" s="47" t="s">
        <v>27</v>
      </c>
      <c r="G680" s="47" t="s">
        <v>192</v>
      </c>
      <c r="H680" s="39">
        <v>0</v>
      </c>
      <c r="I680" s="39">
        <f t="shared" si="51"/>
        <v>0</v>
      </c>
      <c r="J680" s="39">
        <f t="shared" si="52"/>
        <v>0</v>
      </c>
    </row>
    <row r="681" spans="6:10" x14ac:dyDescent="0.2">
      <c r="F681" s="47" t="s">
        <v>45</v>
      </c>
      <c r="G681" s="47" t="s">
        <v>193</v>
      </c>
      <c r="H681" s="39">
        <v>23.5</v>
      </c>
      <c r="I681" s="39">
        <f t="shared" si="51"/>
        <v>0.11749999999999999</v>
      </c>
      <c r="J681" s="39">
        <f t="shared" si="52"/>
        <v>2.3499999999999952</v>
      </c>
    </row>
    <row r="682" spans="6:10" x14ac:dyDescent="0.2">
      <c r="F682" s="47" t="s">
        <v>169</v>
      </c>
      <c r="G682" s="47" t="s">
        <v>194</v>
      </c>
      <c r="H682" s="39">
        <v>0</v>
      </c>
      <c r="I682" s="39">
        <f t="shared" si="51"/>
        <v>0</v>
      </c>
      <c r="J682" s="39">
        <f t="shared" si="52"/>
        <v>0</v>
      </c>
    </row>
    <row r="683" spans="6:10" x14ac:dyDescent="0.2">
      <c r="F683" s="90" t="s">
        <v>35</v>
      </c>
      <c r="G683" s="47" t="s">
        <v>196</v>
      </c>
      <c r="H683" s="39">
        <v>0</v>
      </c>
      <c r="I683" s="91">
        <f t="shared" si="51"/>
        <v>0</v>
      </c>
      <c r="J683" s="39">
        <f t="shared" si="52"/>
        <v>0</v>
      </c>
    </row>
    <row r="684" spans="6:10" x14ac:dyDescent="0.2">
      <c r="F684" s="81"/>
      <c r="G684" s="81"/>
      <c r="H684" s="39" t="s">
        <v>221</v>
      </c>
      <c r="I684" s="39">
        <f>SUM(I650:I683)</f>
        <v>0.33899999999999997</v>
      </c>
      <c r="J684" s="81"/>
    </row>
    <row r="686" spans="6:10" ht="16" x14ac:dyDescent="0.2">
      <c r="H686" s="36">
        <v>2</v>
      </c>
    </row>
    <row r="687" spans="6:10" x14ac:dyDescent="0.2">
      <c r="F687" s="47" t="s">
        <v>216</v>
      </c>
      <c r="G687" s="47" t="s">
        <v>217</v>
      </c>
      <c r="H687" s="39" t="s">
        <v>218</v>
      </c>
      <c r="I687" s="39" t="s">
        <v>219</v>
      </c>
      <c r="J687" s="39" t="s">
        <v>220</v>
      </c>
    </row>
    <row r="688" spans="6:10" x14ac:dyDescent="0.2">
      <c r="F688" s="47" t="s">
        <v>147</v>
      </c>
      <c r="G688" s="47" t="s">
        <v>148</v>
      </c>
      <c r="H688" s="39">
        <v>0</v>
      </c>
      <c r="I688" s="39">
        <f t="shared" ref="I688:I721" si="53">(H688*5)/1000</f>
        <v>0</v>
      </c>
      <c r="J688" s="39">
        <f t="shared" ref="J688:J721" si="54">I688/$C$22</f>
        <v>0</v>
      </c>
    </row>
    <row r="689" spans="6:10" x14ac:dyDescent="0.2">
      <c r="F689" s="47" t="s">
        <v>18</v>
      </c>
      <c r="G689" s="63" t="s">
        <v>149</v>
      </c>
      <c r="H689" s="39">
        <v>0</v>
      </c>
      <c r="I689" s="39">
        <f t="shared" si="53"/>
        <v>0</v>
      </c>
      <c r="J689" s="39">
        <f t="shared" si="54"/>
        <v>0</v>
      </c>
    </row>
    <row r="690" spans="6:10" x14ac:dyDescent="0.2">
      <c r="F690" s="47" t="s">
        <v>150</v>
      </c>
      <c r="G690" s="63" t="s">
        <v>151</v>
      </c>
      <c r="H690" s="39">
        <v>0</v>
      </c>
      <c r="I690" s="39">
        <f t="shared" si="53"/>
        <v>0</v>
      </c>
      <c r="J690" s="39">
        <f t="shared" si="54"/>
        <v>0</v>
      </c>
    </row>
    <row r="691" spans="6:10" x14ac:dyDescent="0.2">
      <c r="F691" s="47" t="s">
        <v>152</v>
      </c>
      <c r="G691" s="63" t="s">
        <v>153</v>
      </c>
      <c r="H691" s="39">
        <v>0</v>
      </c>
      <c r="I691" s="39">
        <f t="shared" si="53"/>
        <v>0</v>
      </c>
      <c r="J691" s="39">
        <f t="shared" si="54"/>
        <v>0</v>
      </c>
    </row>
    <row r="692" spans="6:10" x14ac:dyDescent="0.2">
      <c r="F692" s="47" t="s">
        <v>19</v>
      </c>
      <c r="G692" s="63" t="s">
        <v>154</v>
      </c>
      <c r="H692" s="39">
        <v>0</v>
      </c>
      <c r="I692" s="39">
        <f t="shared" si="53"/>
        <v>0</v>
      </c>
      <c r="J692" s="39">
        <f t="shared" si="54"/>
        <v>0</v>
      </c>
    </row>
    <row r="693" spans="6:10" x14ac:dyDescent="0.2">
      <c r="F693" s="47" t="s">
        <v>20</v>
      </c>
      <c r="G693" s="65" t="s">
        <v>155</v>
      </c>
      <c r="H693" s="68">
        <v>0</v>
      </c>
      <c r="I693" s="39">
        <f t="shared" si="53"/>
        <v>0</v>
      </c>
      <c r="J693" s="39">
        <f t="shared" si="54"/>
        <v>0</v>
      </c>
    </row>
    <row r="694" spans="6:10" x14ac:dyDescent="0.2">
      <c r="F694" s="47" t="s">
        <v>21</v>
      </c>
      <c r="G694" s="63" t="s">
        <v>156</v>
      </c>
      <c r="H694" s="39">
        <v>1.38</v>
      </c>
      <c r="I694" s="39">
        <f t="shared" si="53"/>
        <v>6.8999999999999999E-3</v>
      </c>
      <c r="J694" s="39">
        <f t="shared" si="54"/>
        <v>0.13799999999999946</v>
      </c>
    </row>
    <row r="695" spans="6:10" x14ac:dyDescent="0.2">
      <c r="F695" s="47" t="s">
        <v>29</v>
      </c>
      <c r="G695" s="63" t="s">
        <v>157</v>
      </c>
      <c r="H695" s="39">
        <v>0</v>
      </c>
      <c r="I695" s="39">
        <f t="shared" si="53"/>
        <v>0</v>
      </c>
      <c r="J695" s="39">
        <f t="shared" si="54"/>
        <v>0</v>
      </c>
    </row>
    <row r="696" spans="6:10" x14ac:dyDescent="0.2">
      <c r="F696" s="47" t="s">
        <v>22</v>
      </c>
      <c r="G696" s="63" t="s">
        <v>158</v>
      </c>
      <c r="H696" s="39">
        <v>0</v>
      </c>
      <c r="I696" s="39">
        <f t="shared" si="53"/>
        <v>0</v>
      </c>
      <c r="J696" s="39">
        <f t="shared" si="54"/>
        <v>0</v>
      </c>
    </row>
    <row r="697" spans="6:10" x14ac:dyDescent="0.2">
      <c r="F697" s="47" t="s">
        <v>159</v>
      </c>
      <c r="G697" s="47" t="s">
        <v>160</v>
      </c>
      <c r="H697" s="39">
        <v>0</v>
      </c>
      <c r="I697" s="39">
        <f t="shared" si="53"/>
        <v>0</v>
      </c>
      <c r="J697" s="39">
        <f t="shared" si="54"/>
        <v>0</v>
      </c>
    </row>
    <row r="698" spans="6:10" x14ac:dyDescent="0.2">
      <c r="F698" s="47" t="s">
        <v>23</v>
      </c>
      <c r="G698" s="47" t="s">
        <v>161</v>
      </c>
      <c r="H698" s="39">
        <v>12.55</v>
      </c>
      <c r="I698" s="39">
        <f t="shared" si="53"/>
        <v>6.275E-2</v>
      </c>
      <c r="J698" s="39">
        <f t="shared" si="54"/>
        <v>1.254999999999995</v>
      </c>
    </row>
    <row r="699" spans="6:10" x14ac:dyDescent="0.2">
      <c r="F699" s="47" t="s">
        <v>30</v>
      </c>
      <c r="G699" s="47" t="s">
        <v>162</v>
      </c>
      <c r="H699" s="39">
        <v>2.4500000000000002</v>
      </c>
      <c r="I699" s="39">
        <f t="shared" si="53"/>
        <v>1.225E-2</v>
      </c>
      <c r="J699" s="39">
        <f t="shared" si="54"/>
        <v>0.24499999999999905</v>
      </c>
    </row>
    <row r="700" spans="6:10" x14ac:dyDescent="0.2">
      <c r="F700" s="47" t="s">
        <v>24</v>
      </c>
      <c r="G700" s="47" t="s">
        <v>163</v>
      </c>
      <c r="H700" s="39">
        <v>0</v>
      </c>
      <c r="I700" s="39">
        <f t="shared" si="53"/>
        <v>0</v>
      </c>
      <c r="J700" s="39">
        <f t="shared" si="54"/>
        <v>0</v>
      </c>
    </row>
    <row r="701" spans="6:10" x14ac:dyDescent="0.2">
      <c r="F701" s="47" t="s">
        <v>31</v>
      </c>
      <c r="G701" s="47" t="s">
        <v>165</v>
      </c>
      <c r="H701" s="39">
        <v>0</v>
      </c>
      <c r="I701" s="39">
        <f t="shared" si="53"/>
        <v>0</v>
      </c>
      <c r="J701" s="39">
        <f t="shared" si="54"/>
        <v>0</v>
      </c>
    </row>
    <row r="702" spans="6:10" x14ac:dyDescent="0.2">
      <c r="F702" s="47" t="s">
        <v>25</v>
      </c>
      <c r="G702" s="47" t="s">
        <v>167</v>
      </c>
      <c r="H702" s="39">
        <v>7.01</v>
      </c>
      <c r="I702" s="39">
        <f t="shared" si="53"/>
        <v>3.5049999999999998E-2</v>
      </c>
      <c r="J702" s="39">
        <f t="shared" si="54"/>
        <v>0.70099999999999718</v>
      </c>
    </row>
    <row r="703" spans="6:10" x14ac:dyDescent="0.2">
      <c r="F703" s="47" t="s">
        <v>32</v>
      </c>
      <c r="G703" s="47" t="s">
        <v>168</v>
      </c>
      <c r="H703" s="39">
        <v>13.67</v>
      </c>
      <c r="I703" s="39">
        <f t="shared" si="53"/>
        <v>6.8349999999999994E-2</v>
      </c>
      <c r="J703" s="39">
        <f t="shared" si="54"/>
        <v>1.3669999999999944</v>
      </c>
    </row>
    <row r="704" spans="6:10" x14ac:dyDescent="0.2">
      <c r="F704" s="47" t="s">
        <v>37</v>
      </c>
      <c r="G704" s="47" t="s">
        <v>170</v>
      </c>
      <c r="H704" s="39">
        <v>0</v>
      </c>
      <c r="I704" s="39">
        <f t="shared" si="53"/>
        <v>0</v>
      </c>
      <c r="J704" s="39">
        <f t="shared" si="54"/>
        <v>0</v>
      </c>
    </row>
    <row r="705" spans="6:10" x14ac:dyDescent="0.2">
      <c r="F705" s="47" t="s">
        <v>171</v>
      </c>
      <c r="G705" s="47" t="s">
        <v>172</v>
      </c>
      <c r="H705" s="39">
        <v>0</v>
      </c>
      <c r="I705" s="39">
        <f t="shared" si="53"/>
        <v>0</v>
      </c>
      <c r="J705" s="39">
        <f t="shared" si="54"/>
        <v>0</v>
      </c>
    </row>
    <row r="706" spans="6:10" x14ac:dyDescent="0.2">
      <c r="F706" s="47" t="s">
        <v>42</v>
      </c>
      <c r="G706" s="47" t="s">
        <v>174</v>
      </c>
      <c r="H706" s="39">
        <v>0</v>
      </c>
      <c r="I706" s="39">
        <f t="shared" si="53"/>
        <v>0</v>
      </c>
      <c r="J706" s="39">
        <f t="shared" si="54"/>
        <v>0</v>
      </c>
    </row>
    <row r="707" spans="6:10" x14ac:dyDescent="0.2">
      <c r="F707" s="47" t="s">
        <v>38</v>
      </c>
      <c r="G707" s="37" t="s">
        <v>175</v>
      </c>
      <c r="H707" s="39">
        <v>0</v>
      </c>
      <c r="I707" s="39">
        <f t="shared" si="53"/>
        <v>0</v>
      </c>
      <c r="J707" s="39">
        <f t="shared" si="54"/>
        <v>0</v>
      </c>
    </row>
    <row r="708" spans="6:10" x14ac:dyDescent="0.2">
      <c r="F708" s="47" t="s">
        <v>26</v>
      </c>
      <c r="G708" s="47" t="s">
        <v>177</v>
      </c>
      <c r="H708" s="39">
        <v>0</v>
      </c>
      <c r="I708" s="39">
        <f t="shared" si="53"/>
        <v>0</v>
      </c>
      <c r="J708" s="39">
        <f t="shared" si="54"/>
        <v>0</v>
      </c>
    </row>
    <row r="709" spans="6:10" x14ac:dyDescent="0.2">
      <c r="F709" s="47" t="s">
        <v>33</v>
      </c>
      <c r="G709" s="47" t="s">
        <v>178</v>
      </c>
      <c r="H709" s="39">
        <v>1.87</v>
      </c>
      <c r="I709" s="39">
        <f t="shared" si="53"/>
        <v>9.3500000000000007E-3</v>
      </c>
      <c r="J709" s="39">
        <f t="shared" si="54"/>
        <v>0.18699999999999928</v>
      </c>
    </row>
    <row r="710" spans="6:10" x14ac:dyDescent="0.2">
      <c r="F710" s="47" t="s">
        <v>39</v>
      </c>
      <c r="G710" s="47" t="s">
        <v>180</v>
      </c>
      <c r="H710" s="39">
        <v>0</v>
      </c>
      <c r="I710" s="39">
        <f t="shared" si="53"/>
        <v>0</v>
      </c>
      <c r="J710" s="39">
        <f t="shared" si="54"/>
        <v>0</v>
      </c>
    </row>
    <row r="711" spans="6:10" x14ac:dyDescent="0.2">
      <c r="F711" s="47" t="s">
        <v>40</v>
      </c>
      <c r="G711" s="47" t="s">
        <v>182</v>
      </c>
      <c r="H711" s="39">
        <v>0</v>
      </c>
      <c r="I711" s="39">
        <f t="shared" si="53"/>
        <v>0</v>
      </c>
      <c r="J711" s="39">
        <f t="shared" si="54"/>
        <v>0</v>
      </c>
    </row>
    <row r="712" spans="6:10" x14ac:dyDescent="0.2">
      <c r="F712" s="68" t="s">
        <v>43</v>
      </c>
      <c r="G712" s="47" t="s">
        <v>184</v>
      </c>
      <c r="H712" s="66">
        <v>3.63</v>
      </c>
      <c r="I712" s="39">
        <f t="shared" si="53"/>
        <v>1.8149999999999999E-2</v>
      </c>
      <c r="J712" s="39">
        <f t="shared" si="54"/>
        <v>0.36299999999999855</v>
      </c>
    </row>
    <row r="713" spans="6:10" x14ac:dyDescent="0.2">
      <c r="F713" s="68" t="s">
        <v>186</v>
      </c>
      <c r="G713" s="68" t="s">
        <v>187</v>
      </c>
      <c r="H713" s="66">
        <v>0</v>
      </c>
      <c r="I713" s="39">
        <f t="shared" si="53"/>
        <v>0</v>
      </c>
      <c r="J713" s="39">
        <f t="shared" si="54"/>
        <v>0</v>
      </c>
    </row>
    <row r="714" spans="6:10" x14ac:dyDescent="0.2">
      <c r="F714" s="47" t="s">
        <v>44</v>
      </c>
      <c r="G714" s="47" t="s">
        <v>188</v>
      </c>
      <c r="H714" s="39">
        <v>0</v>
      </c>
      <c r="I714" s="39">
        <f t="shared" si="53"/>
        <v>0</v>
      </c>
      <c r="J714" s="39">
        <f t="shared" si="54"/>
        <v>0</v>
      </c>
    </row>
    <row r="715" spans="6:10" x14ac:dyDescent="0.2">
      <c r="F715" s="68" t="s">
        <v>164</v>
      </c>
      <c r="G715" s="68" t="s">
        <v>189</v>
      </c>
      <c r="H715" s="66">
        <v>0</v>
      </c>
      <c r="I715" s="39">
        <f t="shared" si="53"/>
        <v>0</v>
      </c>
      <c r="J715" s="39">
        <f t="shared" si="54"/>
        <v>0</v>
      </c>
    </row>
    <row r="716" spans="6:10" x14ac:dyDescent="0.2">
      <c r="F716" s="47" t="s">
        <v>166</v>
      </c>
      <c r="G716" s="47" t="s">
        <v>190</v>
      </c>
      <c r="H716" s="39">
        <v>0</v>
      </c>
      <c r="I716" s="39">
        <f t="shared" si="53"/>
        <v>0</v>
      </c>
      <c r="J716" s="39">
        <f t="shared" si="54"/>
        <v>0</v>
      </c>
    </row>
    <row r="717" spans="6:10" x14ac:dyDescent="0.2">
      <c r="F717" s="47" t="s">
        <v>34</v>
      </c>
      <c r="G717" s="47" t="s">
        <v>191</v>
      </c>
      <c r="H717" s="39">
        <v>0</v>
      </c>
      <c r="I717" s="39">
        <f t="shared" si="53"/>
        <v>0</v>
      </c>
      <c r="J717" s="39">
        <f t="shared" si="54"/>
        <v>0</v>
      </c>
    </row>
    <row r="718" spans="6:10" x14ac:dyDescent="0.2">
      <c r="F718" s="47" t="s">
        <v>27</v>
      </c>
      <c r="G718" s="47" t="s">
        <v>192</v>
      </c>
      <c r="H718" s="39">
        <v>0</v>
      </c>
      <c r="I718" s="39">
        <f t="shared" si="53"/>
        <v>0</v>
      </c>
      <c r="J718" s="39">
        <f t="shared" si="54"/>
        <v>0</v>
      </c>
    </row>
    <row r="719" spans="6:10" x14ac:dyDescent="0.2">
      <c r="F719" s="47" t="s">
        <v>45</v>
      </c>
      <c r="G719" s="47" t="s">
        <v>193</v>
      </c>
      <c r="H719" s="39">
        <v>11.97</v>
      </c>
      <c r="I719" s="39">
        <f t="shared" si="53"/>
        <v>5.985E-2</v>
      </c>
      <c r="J719" s="39">
        <f t="shared" si="54"/>
        <v>1.1969999999999954</v>
      </c>
    </row>
    <row r="720" spans="6:10" x14ac:dyDescent="0.2">
      <c r="F720" s="47" t="s">
        <v>169</v>
      </c>
      <c r="G720" s="47" t="s">
        <v>194</v>
      </c>
      <c r="H720" s="39">
        <v>0</v>
      </c>
      <c r="I720" s="39">
        <f t="shared" si="53"/>
        <v>0</v>
      </c>
      <c r="J720" s="39">
        <f t="shared" si="54"/>
        <v>0</v>
      </c>
    </row>
    <row r="721" spans="6:10" x14ac:dyDescent="0.2">
      <c r="F721" s="47" t="s">
        <v>35</v>
      </c>
      <c r="G721" s="47" t="s">
        <v>196</v>
      </c>
      <c r="H721" s="39">
        <v>0</v>
      </c>
      <c r="I721" s="39">
        <f t="shared" si="53"/>
        <v>0</v>
      </c>
      <c r="J721" s="39">
        <f t="shared" si="54"/>
        <v>0</v>
      </c>
    </row>
    <row r="722" spans="6:10" x14ac:dyDescent="0.2">
      <c r="H722" s="39" t="s">
        <v>221</v>
      </c>
      <c r="I722" s="39">
        <f>SUM(I692:I720)</f>
        <v>0.27265</v>
      </c>
    </row>
    <row r="724" spans="6:10" ht="16" x14ac:dyDescent="0.2">
      <c r="F724" s="89"/>
      <c r="G724" s="89"/>
      <c r="H724" s="41">
        <v>644</v>
      </c>
      <c r="I724" s="89"/>
      <c r="J724" s="89"/>
    </row>
    <row r="725" spans="6:10" x14ac:dyDescent="0.2">
      <c r="F725" s="47" t="s">
        <v>216</v>
      </c>
      <c r="G725" s="47" t="s">
        <v>217</v>
      </c>
      <c r="H725" s="39" t="s">
        <v>218</v>
      </c>
      <c r="I725" s="39" t="s">
        <v>219</v>
      </c>
      <c r="J725" s="39" t="s">
        <v>220</v>
      </c>
    </row>
    <row r="726" spans="6:10" x14ac:dyDescent="0.2">
      <c r="F726" s="47" t="s">
        <v>147</v>
      </c>
      <c r="G726" s="47" t="s">
        <v>148</v>
      </c>
      <c r="H726" s="39">
        <v>0</v>
      </c>
      <c r="I726" s="39">
        <f t="shared" ref="I726:I759" si="55">(H726*5)/1000</f>
        <v>0</v>
      </c>
      <c r="J726" s="39">
        <f t="shared" ref="J726:J759" si="56">I726/$C$24</f>
        <v>0</v>
      </c>
    </row>
    <row r="727" spans="6:10" x14ac:dyDescent="0.2">
      <c r="F727" s="47" t="s">
        <v>18</v>
      </c>
      <c r="G727" s="63" t="s">
        <v>149</v>
      </c>
      <c r="H727" s="39">
        <v>0</v>
      </c>
      <c r="I727" s="39">
        <f t="shared" si="55"/>
        <v>0</v>
      </c>
      <c r="J727" s="39">
        <f t="shared" si="56"/>
        <v>0</v>
      </c>
    </row>
    <row r="728" spans="6:10" x14ac:dyDescent="0.2">
      <c r="F728" s="47" t="s">
        <v>150</v>
      </c>
      <c r="G728" s="63" t="s">
        <v>151</v>
      </c>
      <c r="H728" s="39">
        <v>0</v>
      </c>
      <c r="I728" s="39">
        <f t="shared" si="55"/>
        <v>0</v>
      </c>
      <c r="J728" s="39">
        <f t="shared" si="56"/>
        <v>0</v>
      </c>
    </row>
    <row r="729" spans="6:10" x14ac:dyDescent="0.2">
      <c r="F729" s="47" t="s">
        <v>152</v>
      </c>
      <c r="G729" s="63" t="s">
        <v>153</v>
      </c>
      <c r="H729" s="39">
        <v>0</v>
      </c>
      <c r="I729" s="39">
        <f t="shared" si="55"/>
        <v>0</v>
      </c>
      <c r="J729" s="39">
        <f t="shared" si="56"/>
        <v>0</v>
      </c>
    </row>
    <row r="730" spans="6:10" x14ac:dyDescent="0.2">
      <c r="F730" s="47" t="s">
        <v>19</v>
      </c>
      <c r="G730" s="63" t="s">
        <v>154</v>
      </c>
      <c r="H730" s="39">
        <v>0</v>
      </c>
      <c r="I730" s="39">
        <f t="shared" si="55"/>
        <v>0</v>
      </c>
      <c r="J730" s="39">
        <f t="shared" si="56"/>
        <v>0</v>
      </c>
    </row>
    <row r="731" spans="6:10" x14ac:dyDescent="0.2">
      <c r="F731" s="67" t="s">
        <v>20</v>
      </c>
      <c r="G731" s="65" t="s">
        <v>155</v>
      </c>
      <c r="H731" s="39">
        <v>0</v>
      </c>
      <c r="I731" s="39">
        <f t="shared" si="55"/>
        <v>0</v>
      </c>
      <c r="J731" s="39">
        <f t="shared" si="56"/>
        <v>0</v>
      </c>
    </row>
    <row r="732" spans="6:10" x14ac:dyDescent="0.2">
      <c r="F732" s="47" t="s">
        <v>21</v>
      </c>
      <c r="G732" s="63" t="s">
        <v>156</v>
      </c>
      <c r="H732" s="39">
        <v>0.91</v>
      </c>
      <c r="I732" s="39">
        <f t="shared" si="55"/>
        <v>4.5500000000000002E-3</v>
      </c>
      <c r="J732" s="39">
        <f t="shared" si="56"/>
        <v>9.0999999999999651E-2</v>
      </c>
    </row>
    <row r="733" spans="6:10" x14ac:dyDescent="0.2">
      <c r="F733" s="47" t="s">
        <v>29</v>
      </c>
      <c r="G733" s="63" t="s">
        <v>157</v>
      </c>
      <c r="H733" s="39">
        <v>0</v>
      </c>
      <c r="I733" s="39">
        <f t="shared" si="55"/>
        <v>0</v>
      </c>
      <c r="J733" s="39">
        <f t="shared" si="56"/>
        <v>0</v>
      </c>
    </row>
    <row r="734" spans="6:10" x14ac:dyDescent="0.2">
      <c r="F734" s="47" t="s">
        <v>22</v>
      </c>
      <c r="G734" s="63" t="s">
        <v>158</v>
      </c>
      <c r="H734" s="39">
        <v>0</v>
      </c>
      <c r="I734" s="39">
        <f t="shared" si="55"/>
        <v>0</v>
      </c>
      <c r="J734" s="39">
        <f t="shared" si="56"/>
        <v>0</v>
      </c>
    </row>
    <row r="735" spans="6:10" x14ac:dyDescent="0.2">
      <c r="F735" s="47" t="s">
        <v>159</v>
      </c>
      <c r="G735" s="47" t="s">
        <v>160</v>
      </c>
      <c r="H735" s="39">
        <v>0</v>
      </c>
      <c r="I735" s="39">
        <f t="shared" si="55"/>
        <v>0</v>
      </c>
      <c r="J735" s="39">
        <f t="shared" si="56"/>
        <v>0</v>
      </c>
    </row>
    <row r="736" spans="6:10" x14ac:dyDescent="0.2">
      <c r="F736" s="47" t="s">
        <v>23</v>
      </c>
      <c r="G736" s="47" t="s">
        <v>161</v>
      </c>
      <c r="H736" s="39">
        <v>9.2200000000000006</v>
      </c>
      <c r="I736" s="39">
        <f t="shared" si="55"/>
        <v>4.6100000000000002E-2</v>
      </c>
      <c r="J736" s="39">
        <f t="shared" si="56"/>
        <v>0.92199999999999638</v>
      </c>
    </row>
    <row r="737" spans="6:10" x14ac:dyDescent="0.2">
      <c r="F737" s="47" t="s">
        <v>30</v>
      </c>
      <c r="G737" s="47" t="s">
        <v>162</v>
      </c>
      <c r="H737" s="39">
        <v>2.0099999999999998</v>
      </c>
      <c r="I737" s="39">
        <f t="shared" si="55"/>
        <v>1.0049999999999998E-2</v>
      </c>
      <c r="J737" s="39">
        <f t="shared" si="56"/>
        <v>0.20099999999999918</v>
      </c>
    </row>
    <row r="738" spans="6:10" x14ac:dyDescent="0.2">
      <c r="F738" s="47" t="s">
        <v>24</v>
      </c>
      <c r="G738" s="47" t="s">
        <v>163</v>
      </c>
      <c r="H738" s="39">
        <v>0</v>
      </c>
      <c r="I738" s="39">
        <f t="shared" si="55"/>
        <v>0</v>
      </c>
      <c r="J738" s="39">
        <f t="shared" si="56"/>
        <v>0</v>
      </c>
    </row>
    <row r="739" spans="6:10" x14ac:dyDescent="0.2">
      <c r="F739" s="47" t="s">
        <v>31</v>
      </c>
      <c r="G739" s="47" t="s">
        <v>165</v>
      </c>
      <c r="H739" s="39">
        <v>0</v>
      </c>
      <c r="I739" s="39">
        <f t="shared" si="55"/>
        <v>0</v>
      </c>
      <c r="J739" s="39">
        <f t="shared" si="56"/>
        <v>0</v>
      </c>
    </row>
    <row r="740" spans="6:10" x14ac:dyDescent="0.2">
      <c r="F740" s="47" t="s">
        <v>25</v>
      </c>
      <c r="G740" s="47" t="s">
        <v>167</v>
      </c>
      <c r="H740" s="39">
        <v>4.3099999999999996</v>
      </c>
      <c r="I740" s="39">
        <f t="shared" si="55"/>
        <v>2.1549999999999996E-2</v>
      </c>
      <c r="J740" s="39">
        <f t="shared" si="56"/>
        <v>0.43099999999999822</v>
      </c>
    </row>
    <row r="741" spans="6:10" x14ac:dyDescent="0.2">
      <c r="F741" s="47" t="s">
        <v>32</v>
      </c>
      <c r="G741" s="47" t="s">
        <v>168</v>
      </c>
      <c r="H741" s="39">
        <v>20.99</v>
      </c>
      <c r="I741" s="39">
        <f t="shared" si="55"/>
        <v>0.10494999999999999</v>
      </c>
      <c r="J741" s="39">
        <f t="shared" si="56"/>
        <v>2.0989999999999913</v>
      </c>
    </row>
    <row r="742" spans="6:10" x14ac:dyDescent="0.2">
      <c r="F742" s="47" t="s">
        <v>37</v>
      </c>
      <c r="G742" s="47" t="s">
        <v>170</v>
      </c>
      <c r="H742" s="39">
        <v>0</v>
      </c>
      <c r="I742" s="39">
        <f t="shared" si="55"/>
        <v>0</v>
      </c>
      <c r="J742" s="39">
        <f t="shared" si="56"/>
        <v>0</v>
      </c>
    </row>
    <row r="743" spans="6:10" x14ac:dyDescent="0.2">
      <c r="F743" s="47" t="s">
        <v>171</v>
      </c>
      <c r="G743" s="47" t="s">
        <v>172</v>
      </c>
      <c r="H743" s="39">
        <v>0</v>
      </c>
      <c r="I743" s="39">
        <f t="shared" si="55"/>
        <v>0</v>
      </c>
      <c r="J743" s="39">
        <f t="shared" si="56"/>
        <v>0</v>
      </c>
    </row>
    <row r="744" spans="6:10" x14ac:dyDescent="0.2">
      <c r="F744" s="47" t="s">
        <v>42</v>
      </c>
      <c r="G744" s="47" t="s">
        <v>174</v>
      </c>
      <c r="H744" s="39">
        <v>0</v>
      </c>
      <c r="I744" s="39">
        <f t="shared" si="55"/>
        <v>0</v>
      </c>
      <c r="J744" s="39">
        <f t="shared" si="56"/>
        <v>0</v>
      </c>
    </row>
    <row r="745" spans="6:10" x14ac:dyDescent="0.2">
      <c r="F745" s="67" t="s">
        <v>38</v>
      </c>
      <c r="G745" s="37" t="s">
        <v>175</v>
      </c>
      <c r="H745" s="39">
        <v>0</v>
      </c>
      <c r="I745" s="39">
        <f t="shared" si="55"/>
        <v>0</v>
      </c>
      <c r="J745" s="39">
        <f t="shared" si="56"/>
        <v>0</v>
      </c>
    </row>
    <row r="746" spans="6:10" x14ac:dyDescent="0.2">
      <c r="F746" s="47" t="s">
        <v>26</v>
      </c>
      <c r="G746" s="47" t="s">
        <v>177</v>
      </c>
      <c r="H746" s="39">
        <v>0</v>
      </c>
      <c r="I746" s="39">
        <f t="shared" si="55"/>
        <v>0</v>
      </c>
      <c r="J746" s="39">
        <f t="shared" si="56"/>
        <v>0</v>
      </c>
    </row>
    <row r="747" spans="6:10" x14ac:dyDescent="0.2">
      <c r="F747" s="47" t="s">
        <v>33</v>
      </c>
      <c r="G747" s="47" t="s">
        <v>178</v>
      </c>
      <c r="H747" s="39">
        <v>4.33</v>
      </c>
      <c r="I747" s="39">
        <f t="shared" si="55"/>
        <v>2.1649999999999999E-2</v>
      </c>
      <c r="J747" s="39">
        <f t="shared" si="56"/>
        <v>0.43299999999999828</v>
      </c>
    </row>
    <row r="748" spans="6:10" x14ac:dyDescent="0.2">
      <c r="F748" s="47" t="s">
        <v>39</v>
      </c>
      <c r="G748" s="47" t="s">
        <v>180</v>
      </c>
      <c r="H748" s="39">
        <v>0</v>
      </c>
      <c r="I748" s="39">
        <f t="shared" si="55"/>
        <v>0</v>
      </c>
      <c r="J748" s="39">
        <f t="shared" si="56"/>
        <v>0</v>
      </c>
    </row>
    <row r="749" spans="6:10" x14ac:dyDescent="0.2">
      <c r="F749" s="47" t="s">
        <v>40</v>
      </c>
      <c r="G749" s="47" t="s">
        <v>182</v>
      </c>
      <c r="H749" s="39">
        <v>0</v>
      </c>
      <c r="I749" s="39">
        <f t="shared" si="55"/>
        <v>0</v>
      </c>
      <c r="J749" s="39">
        <f t="shared" si="56"/>
        <v>0</v>
      </c>
    </row>
    <row r="750" spans="6:10" x14ac:dyDescent="0.2">
      <c r="F750" s="67" t="s">
        <v>43</v>
      </c>
      <c r="G750" s="47" t="s">
        <v>184</v>
      </c>
      <c r="H750" s="39">
        <v>1.38</v>
      </c>
      <c r="I750" s="39">
        <f t="shared" si="55"/>
        <v>6.8999999999999999E-3</v>
      </c>
      <c r="J750" s="39">
        <f t="shared" si="56"/>
        <v>0.13799999999999946</v>
      </c>
    </row>
    <row r="751" spans="6:10" x14ac:dyDescent="0.2">
      <c r="F751" s="68" t="s">
        <v>186</v>
      </c>
      <c r="G751" s="68" t="s">
        <v>187</v>
      </c>
      <c r="H751" s="83">
        <v>0</v>
      </c>
      <c r="I751" s="39">
        <f t="shared" si="55"/>
        <v>0</v>
      </c>
      <c r="J751" s="39">
        <f t="shared" si="56"/>
        <v>0</v>
      </c>
    </row>
    <row r="752" spans="6:10" x14ac:dyDescent="0.2">
      <c r="F752" s="47" t="s">
        <v>44</v>
      </c>
      <c r="G752" s="47" t="s">
        <v>188</v>
      </c>
      <c r="H752" s="39">
        <v>2.33</v>
      </c>
      <c r="I752" s="39">
        <f t="shared" si="55"/>
        <v>1.1650000000000001E-2</v>
      </c>
      <c r="J752" s="39">
        <f t="shared" si="56"/>
        <v>0.2329999999999991</v>
      </c>
    </row>
    <row r="753" spans="6:10" x14ac:dyDescent="0.2">
      <c r="F753" s="68" t="s">
        <v>164</v>
      </c>
      <c r="G753" s="68" t="s">
        <v>189</v>
      </c>
      <c r="H753" s="83">
        <v>0</v>
      </c>
      <c r="I753" s="39">
        <f t="shared" si="55"/>
        <v>0</v>
      </c>
      <c r="J753" s="39">
        <f t="shared" si="56"/>
        <v>0</v>
      </c>
    </row>
    <row r="754" spans="6:10" x14ac:dyDescent="0.2">
      <c r="F754" s="47" t="s">
        <v>166</v>
      </c>
      <c r="G754" s="47" t="s">
        <v>190</v>
      </c>
      <c r="H754" s="39">
        <v>0</v>
      </c>
      <c r="I754" s="39">
        <f t="shared" si="55"/>
        <v>0</v>
      </c>
      <c r="J754" s="39">
        <f t="shared" si="56"/>
        <v>0</v>
      </c>
    </row>
    <row r="755" spans="6:10" x14ac:dyDescent="0.2">
      <c r="F755" s="47" t="s">
        <v>34</v>
      </c>
      <c r="G755" s="47" t="s">
        <v>191</v>
      </c>
      <c r="H755" s="39">
        <v>0</v>
      </c>
      <c r="I755" s="39">
        <f t="shared" si="55"/>
        <v>0</v>
      </c>
      <c r="J755" s="39">
        <f t="shared" si="56"/>
        <v>0</v>
      </c>
    </row>
    <row r="756" spans="6:10" x14ac:dyDescent="0.2">
      <c r="F756" s="47" t="s">
        <v>27</v>
      </c>
      <c r="G756" s="47" t="s">
        <v>192</v>
      </c>
      <c r="H756" s="39">
        <v>3.42</v>
      </c>
      <c r="I756" s="39">
        <f t="shared" si="55"/>
        <v>1.7100000000000001E-2</v>
      </c>
      <c r="J756" s="39">
        <f t="shared" si="56"/>
        <v>0.34199999999999864</v>
      </c>
    </row>
    <row r="757" spans="6:10" x14ac:dyDescent="0.2">
      <c r="F757" s="47" t="s">
        <v>45</v>
      </c>
      <c r="G757" s="47" t="s">
        <v>193</v>
      </c>
      <c r="H757" s="39">
        <v>27.55</v>
      </c>
      <c r="I757" s="39">
        <f t="shared" si="55"/>
        <v>0.13775000000000001</v>
      </c>
      <c r="J757" s="39">
        <f t="shared" si="56"/>
        <v>2.7549999999999892</v>
      </c>
    </row>
    <row r="758" spans="6:10" x14ac:dyDescent="0.2">
      <c r="F758" s="47" t="s">
        <v>169</v>
      </c>
      <c r="G758" s="47" t="s">
        <v>194</v>
      </c>
      <c r="H758" s="39">
        <v>0</v>
      </c>
      <c r="I758" s="39">
        <f t="shared" si="55"/>
        <v>0</v>
      </c>
      <c r="J758" s="39">
        <f t="shared" si="56"/>
        <v>0</v>
      </c>
    </row>
    <row r="759" spans="6:10" x14ac:dyDescent="0.2">
      <c r="F759" s="90" t="s">
        <v>35</v>
      </c>
      <c r="G759" s="47" t="s">
        <v>196</v>
      </c>
      <c r="H759" s="39">
        <v>0</v>
      </c>
      <c r="I759" s="91">
        <f t="shared" si="55"/>
        <v>0</v>
      </c>
      <c r="J759" s="39">
        <f t="shared" si="56"/>
        <v>0</v>
      </c>
    </row>
    <row r="760" spans="6:10" x14ac:dyDescent="0.2">
      <c r="F760" s="81"/>
      <c r="G760" s="81"/>
      <c r="H760" s="39" t="s">
        <v>221</v>
      </c>
      <c r="I760" s="39">
        <f>SUM(I726:I759)</f>
        <v>0.38224999999999998</v>
      </c>
      <c r="J760" s="81"/>
    </row>
    <row r="762" spans="6:10" ht="16" x14ac:dyDescent="0.2">
      <c r="H762" s="36">
        <v>80</v>
      </c>
    </row>
    <row r="763" spans="6:10" x14ac:dyDescent="0.2">
      <c r="F763" s="47" t="s">
        <v>216</v>
      </c>
      <c r="G763" s="47" t="s">
        <v>217</v>
      </c>
      <c r="H763" s="39" t="s">
        <v>218</v>
      </c>
      <c r="I763" s="39" t="s">
        <v>219</v>
      </c>
      <c r="J763" s="39" t="s">
        <v>220</v>
      </c>
    </row>
    <row r="764" spans="6:10" x14ac:dyDescent="0.2">
      <c r="F764" s="47" t="s">
        <v>147</v>
      </c>
      <c r="G764" s="47" t="s">
        <v>148</v>
      </c>
      <c r="H764" s="39">
        <v>0</v>
      </c>
      <c r="I764" s="39">
        <f t="shared" ref="I764:I787" si="57">(H764*5)/1000</f>
        <v>0</v>
      </c>
      <c r="J764" s="39">
        <f t="shared" ref="J764:J797" si="58">I764/$C$25</f>
        <v>0</v>
      </c>
    </row>
    <row r="765" spans="6:10" x14ac:dyDescent="0.2">
      <c r="F765" s="47" t="s">
        <v>18</v>
      </c>
      <c r="G765" s="63" t="s">
        <v>149</v>
      </c>
      <c r="H765" s="39">
        <v>0</v>
      </c>
      <c r="I765" s="39">
        <f t="shared" si="57"/>
        <v>0</v>
      </c>
      <c r="J765" s="39">
        <f t="shared" si="58"/>
        <v>0</v>
      </c>
    </row>
    <row r="766" spans="6:10" x14ac:dyDescent="0.2">
      <c r="F766" s="47" t="s">
        <v>150</v>
      </c>
      <c r="G766" s="63" t="s">
        <v>151</v>
      </c>
      <c r="H766" s="39">
        <v>0</v>
      </c>
      <c r="I766" s="39">
        <f t="shared" si="57"/>
        <v>0</v>
      </c>
      <c r="J766" s="39">
        <f t="shared" si="58"/>
        <v>0</v>
      </c>
    </row>
    <row r="767" spans="6:10" x14ac:dyDescent="0.2">
      <c r="F767" s="47" t="s">
        <v>152</v>
      </c>
      <c r="G767" s="63" t="s">
        <v>153</v>
      </c>
      <c r="H767" s="39">
        <v>0</v>
      </c>
      <c r="I767" s="39">
        <f t="shared" si="57"/>
        <v>0</v>
      </c>
      <c r="J767" s="39">
        <f t="shared" si="58"/>
        <v>0</v>
      </c>
    </row>
    <row r="768" spans="6:10" x14ac:dyDescent="0.2">
      <c r="F768" s="47" t="s">
        <v>19</v>
      </c>
      <c r="G768" s="63" t="s">
        <v>154</v>
      </c>
      <c r="H768" s="39">
        <v>0</v>
      </c>
      <c r="I768" s="39">
        <f t="shared" si="57"/>
        <v>0</v>
      </c>
      <c r="J768" s="39">
        <f t="shared" si="58"/>
        <v>0</v>
      </c>
    </row>
    <row r="769" spans="6:10" x14ac:dyDescent="0.2">
      <c r="F769" s="67" t="s">
        <v>20</v>
      </c>
      <c r="G769" s="65" t="s">
        <v>155</v>
      </c>
      <c r="H769" s="39">
        <v>0</v>
      </c>
      <c r="I769" s="39">
        <f t="shared" si="57"/>
        <v>0</v>
      </c>
      <c r="J769" s="39">
        <f t="shared" si="58"/>
        <v>0</v>
      </c>
    </row>
    <row r="770" spans="6:10" x14ac:dyDescent="0.2">
      <c r="F770" s="47" t="s">
        <v>21</v>
      </c>
      <c r="G770" s="63" t="s">
        <v>156</v>
      </c>
      <c r="H770" s="39">
        <v>0.81</v>
      </c>
      <c r="I770" s="39">
        <f t="shared" si="57"/>
        <v>4.0500000000000006E-3</v>
      </c>
      <c r="J770" s="39">
        <f t="shared" si="58"/>
        <v>8.0999999999999697E-2</v>
      </c>
    </row>
    <row r="771" spans="6:10" x14ac:dyDescent="0.2">
      <c r="F771" s="47" t="s">
        <v>29</v>
      </c>
      <c r="G771" s="63" t="s">
        <v>157</v>
      </c>
      <c r="H771" s="39">
        <v>0</v>
      </c>
      <c r="I771" s="39">
        <f t="shared" si="57"/>
        <v>0</v>
      </c>
      <c r="J771" s="39">
        <f t="shared" si="58"/>
        <v>0</v>
      </c>
    </row>
    <row r="772" spans="6:10" x14ac:dyDescent="0.2">
      <c r="F772" s="47" t="s">
        <v>22</v>
      </c>
      <c r="G772" s="63" t="s">
        <v>158</v>
      </c>
      <c r="H772" s="39">
        <v>0</v>
      </c>
      <c r="I772" s="39">
        <f t="shared" si="57"/>
        <v>0</v>
      </c>
      <c r="J772" s="39">
        <f t="shared" si="58"/>
        <v>0</v>
      </c>
    </row>
    <row r="773" spans="6:10" x14ac:dyDescent="0.2">
      <c r="F773" s="47" t="s">
        <v>159</v>
      </c>
      <c r="G773" s="47" t="s">
        <v>160</v>
      </c>
      <c r="H773" s="39">
        <v>0</v>
      </c>
      <c r="I773" s="39">
        <f t="shared" si="57"/>
        <v>0</v>
      </c>
      <c r="J773" s="39">
        <f t="shared" si="58"/>
        <v>0</v>
      </c>
    </row>
    <row r="774" spans="6:10" x14ac:dyDescent="0.2">
      <c r="F774" s="47" t="s">
        <v>23</v>
      </c>
      <c r="G774" s="47" t="s">
        <v>161</v>
      </c>
      <c r="H774" s="39">
        <v>8.59</v>
      </c>
      <c r="I774" s="39">
        <f t="shared" si="57"/>
        <v>4.2950000000000002E-2</v>
      </c>
      <c r="J774" s="39">
        <f t="shared" si="58"/>
        <v>0.85899999999999666</v>
      </c>
    </row>
    <row r="775" spans="6:10" x14ac:dyDescent="0.2">
      <c r="F775" s="47" t="s">
        <v>30</v>
      </c>
      <c r="G775" s="47" t="s">
        <v>162</v>
      </c>
      <c r="H775" s="39">
        <v>2.02</v>
      </c>
      <c r="I775" s="39">
        <f t="shared" si="57"/>
        <v>1.01E-2</v>
      </c>
      <c r="J775" s="39">
        <f t="shared" si="58"/>
        <v>0.20199999999999921</v>
      </c>
    </row>
    <row r="776" spans="6:10" x14ac:dyDescent="0.2">
      <c r="F776" s="47" t="s">
        <v>24</v>
      </c>
      <c r="G776" s="47" t="s">
        <v>163</v>
      </c>
      <c r="H776" s="39">
        <v>0</v>
      </c>
      <c r="I776" s="39">
        <f t="shared" si="57"/>
        <v>0</v>
      </c>
      <c r="J776" s="39">
        <f t="shared" si="58"/>
        <v>0</v>
      </c>
    </row>
    <row r="777" spans="6:10" x14ac:dyDescent="0.2">
      <c r="F777" s="47" t="s">
        <v>31</v>
      </c>
      <c r="G777" s="47" t="s">
        <v>165</v>
      </c>
      <c r="H777" s="39">
        <v>0</v>
      </c>
      <c r="I777" s="39">
        <f t="shared" si="57"/>
        <v>0</v>
      </c>
      <c r="J777" s="39">
        <f t="shared" si="58"/>
        <v>0</v>
      </c>
    </row>
    <row r="778" spans="6:10" x14ac:dyDescent="0.2">
      <c r="F778" s="47" t="s">
        <v>25</v>
      </c>
      <c r="G778" s="47" t="s">
        <v>167</v>
      </c>
      <c r="H778" s="39">
        <v>3.98</v>
      </c>
      <c r="I778" s="39">
        <f t="shared" si="57"/>
        <v>1.9899999999999998E-2</v>
      </c>
      <c r="J778" s="39">
        <f t="shared" si="58"/>
        <v>0.39799999999999836</v>
      </c>
    </row>
    <row r="779" spans="6:10" x14ac:dyDescent="0.2">
      <c r="F779" s="47" t="s">
        <v>32</v>
      </c>
      <c r="G779" s="47" t="s">
        <v>168</v>
      </c>
      <c r="H779" s="39">
        <v>15.78</v>
      </c>
      <c r="I779" s="39">
        <f t="shared" si="57"/>
        <v>7.8899999999999998E-2</v>
      </c>
      <c r="J779" s="39">
        <f t="shared" si="58"/>
        <v>1.5779999999999936</v>
      </c>
    </row>
    <row r="780" spans="6:10" x14ac:dyDescent="0.2">
      <c r="F780" s="47" t="s">
        <v>37</v>
      </c>
      <c r="G780" s="47" t="s">
        <v>170</v>
      </c>
      <c r="H780" s="39">
        <v>0</v>
      </c>
      <c r="I780" s="39">
        <f t="shared" si="57"/>
        <v>0</v>
      </c>
      <c r="J780" s="39">
        <f t="shared" si="58"/>
        <v>0</v>
      </c>
    </row>
    <row r="781" spans="6:10" x14ac:dyDescent="0.2">
      <c r="F781" s="47" t="s">
        <v>171</v>
      </c>
      <c r="G781" s="47" t="s">
        <v>172</v>
      </c>
      <c r="H781" s="39">
        <v>0</v>
      </c>
      <c r="I781" s="39">
        <f t="shared" si="57"/>
        <v>0</v>
      </c>
      <c r="J781" s="39">
        <f t="shared" si="58"/>
        <v>0</v>
      </c>
    </row>
    <row r="782" spans="6:10" x14ac:dyDescent="0.2">
      <c r="F782" s="47" t="s">
        <v>42</v>
      </c>
      <c r="G782" s="47" t="s">
        <v>174</v>
      </c>
      <c r="H782" s="39">
        <v>0</v>
      </c>
      <c r="I782" s="39">
        <f t="shared" si="57"/>
        <v>0</v>
      </c>
      <c r="J782" s="39">
        <f t="shared" si="58"/>
        <v>0</v>
      </c>
    </row>
    <row r="783" spans="6:10" x14ac:dyDescent="0.2">
      <c r="F783" s="67" t="s">
        <v>38</v>
      </c>
      <c r="G783" s="37" t="s">
        <v>175</v>
      </c>
      <c r="H783" s="39">
        <v>0</v>
      </c>
      <c r="I783" s="39">
        <f t="shared" si="57"/>
        <v>0</v>
      </c>
      <c r="J783" s="39">
        <f t="shared" si="58"/>
        <v>0</v>
      </c>
    </row>
    <row r="784" spans="6:10" x14ac:dyDescent="0.2">
      <c r="F784" s="47" t="s">
        <v>26</v>
      </c>
      <c r="G784" s="47" t="s">
        <v>177</v>
      </c>
      <c r="H784" s="39">
        <v>0</v>
      </c>
      <c r="I784" s="39">
        <f t="shared" si="57"/>
        <v>0</v>
      </c>
      <c r="J784" s="39">
        <f t="shared" si="58"/>
        <v>0</v>
      </c>
    </row>
    <row r="785" spans="6:10" x14ac:dyDescent="0.2">
      <c r="F785" s="47" t="s">
        <v>33</v>
      </c>
      <c r="G785" s="47" t="s">
        <v>178</v>
      </c>
      <c r="H785" s="39">
        <v>2.46</v>
      </c>
      <c r="I785" s="39">
        <f t="shared" si="57"/>
        <v>1.23E-2</v>
      </c>
      <c r="J785" s="39">
        <f t="shared" si="58"/>
        <v>0.24599999999999903</v>
      </c>
    </row>
    <row r="786" spans="6:10" x14ac:dyDescent="0.2">
      <c r="F786" s="47" t="s">
        <v>39</v>
      </c>
      <c r="G786" s="47" t="s">
        <v>180</v>
      </c>
      <c r="H786" s="39">
        <v>0</v>
      </c>
      <c r="I786" s="39">
        <f t="shared" si="57"/>
        <v>0</v>
      </c>
      <c r="J786" s="39">
        <f t="shared" si="58"/>
        <v>0</v>
      </c>
    </row>
    <row r="787" spans="6:10" x14ac:dyDescent="0.2">
      <c r="F787" s="47" t="s">
        <v>40</v>
      </c>
      <c r="G787" s="47" t="s">
        <v>182</v>
      </c>
      <c r="H787" s="39">
        <v>0</v>
      </c>
      <c r="I787" s="39">
        <f t="shared" si="57"/>
        <v>0</v>
      </c>
      <c r="J787" s="39">
        <f t="shared" si="58"/>
        <v>0</v>
      </c>
    </row>
    <row r="788" spans="6:10" x14ac:dyDescent="0.2">
      <c r="F788" s="67" t="s">
        <v>43</v>
      </c>
      <c r="G788" s="47" t="s">
        <v>184</v>
      </c>
      <c r="H788" s="39">
        <v>1.74</v>
      </c>
      <c r="I788" s="39">
        <v>0</v>
      </c>
      <c r="J788" s="39">
        <f t="shared" si="58"/>
        <v>0</v>
      </c>
    </row>
    <row r="789" spans="6:10" x14ac:dyDescent="0.2">
      <c r="F789" s="68" t="s">
        <v>186</v>
      </c>
      <c r="G789" s="68" t="s">
        <v>187</v>
      </c>
      <c r="H789" s="40">
        <v>0</v>
      </c>
      <c r="I789" s="39">
        <v>0</v>
      </c>
      <c r="J789" s="39">
        <f t="shared" si="58"/>
        <v>0</v>
      </c>
    </row>
    <row r="790" spans="6:10" x14ac:dyDescent="0.2">
      <c r="F790" s="47" t="s">
        <v>44</v>
      </c>
      <c r="G790" s="47" t="s">
        <v>188</v>
      </c>
      <c r="H790" s="39">
        <v>1.84</v>
      </c>
      <c r="I790" s="39">
        <v>0</v>
      </c>
      <c r="J790" s="39">
        <f t="shared" si="58"/>
        <v>0</v>
      </c>
    </row>
    <row r="791" spans="6:10" x14ac:dyDescent="0.2">
      <c r="F791" s="68" t="s">
        <v>164</v>
      </c>
      <c r="G791" s="68" t="s">
        <v>189</v>
      </c>
      <c r="H791" s="40">
        <v>0</v>
      </c>
      <c r="I791" s="39">
        <v>0</v>
      </c>
      <c r="J791" s="39">
        <f t="shared" si="58"/>
        <v>0</v>
      </c>
    </row>
    <row r="792" spans="6:10" x14ac:dyDescent="0.2">
      <c r="F792" s="47" t="s">
        <v>166</v>
      </c>
      <c r="G792" s="47" t="s">
        <v>190</v>
      </c>
      <c r="H792" s="39">
        <v>0</v>
      </c>
      <c r="I792" s="39">
        <f t="shared" ref="I792:I797" si="59">(H792*5)/1000</f>
        <v>0</v>
      </c>
      <c r="J792" s="39">
        <f t="shared" si="58"/>
        <v>0</v>
      </c>
    </row>
    <row r="793" spans="6:10" x14ac:dyDescent="0.2">
      <c r="F793" s="47" t="s">
        <v>34</v>
      </c>
      <c r="G793" s="47" t="s">
        <v>191</v>
      </c>
      <c r="H793" s="39">
        <v>0</v>
      </c>
      <c r="I793" s="39">
        <f t="shared" si="59"/>
        <v>0</v>
      </c>
      <c r="J793" s="39">
        <f t="shared" si="58"/>
        <v>0</v>
      </c>
    </row>
    <row r="794" spans="6:10" x14ac:dyDescent="0.2">
      <c r="F794" s="47" t="s">
        <v>27</v>
      </c>
      <c r="G794" s="47" t="s">
        <v>192</v>
      </c>
      <c r="H794" s="39">
        <v>0</v>
      </c>
      <c r="I794" s="39">
        <f t="shared" si="59"/>
        <v>0</v>
      </c>
      <c r="J794" s="39">
        <f t="shared" si="58"/>
        <v>0</v>
      </c>
    </row>
    <row r="795" spans="6:10" x14ac:dyDescent="0.2">
      <c r="F795" s="47" t="s">
        <v>45</v>
      </c>
      <c r="G795" s="47" t="s">
        <v>193</v>
      </c>
      <c r="H795" s="39">
        <v>22.34</v>
      </c>
      <c r="I795" s="39">
        <f t="shared" si="59"/>
        <v>0.11170000000000001</v>
      </c>
      <c r="J795" s="39">
        <f t="shared" si="58"/>
        <v>2.2339999999999915</v>
      </c>
    </row>
    <row r="796" spans="6:10" x14ac:dyDescent="0.2">
      <c r="F796" s="47" t="s">
        <v>169</v>
      </c>
      <c r="G796" s="47" t="s">
        <v>194</v>
      </c>
      <c r="H796" s="39">
        <v>0</v>
      </c>
      <c r="I796" s="39">
        <f t="shared" si="59"/>
        <v>0</v>
      </c>
      <c r="J796" s="39">
        <f t="shared" si="58"/>
        <v>0</v>
      </c>
    </row>
    <row r="797" spans="6:10" x14ac:dyDescent="0.2">
      <c r="F797" s="47" t="s">
        <v>35</v>
      </c>
      <c r="G797" s="47" t="s">
        <v>196</v>
      </c>
      <c r="H797" s="39">
        <v>0</v>
      </c>
      <c r="I797" s="39">
        <f t="shared" si="59"/>
        <v>0</v>
      </c>
      <c r="J797" s="39">
        <f t="shared" si="58"/>
        <v>0</v>
      </c>
    </row>
    <row r="798" spans="6:10" x14ac:dyDescent="0.2">
      <c r="H798" s="39" t="s">
        <v>221</v>
      </c>
      <c r="I798" s="39">
        <f>SUM(I764:I797)</f>
        <v>0.27989999999999998</v>
      </c>
      <c r="J798" s="84"/>
    </row>
    <row r="800" spans="6:10" ht="16" x14ac:dyDescent="0.2">
      <c r="H800" s="36">
        <v>53</v>
      </c>
    </row>
    <row r="801" spans="6:10" x14ac:dyDescent="0.2">
      <c r="F801" s="47" t="s">
        <v>216</v>
      </c>
      <c r="G801" s="47" t="s">
        <v>217</v>
      </c>
      <c r="H801" s="39" t="s">
        <v>218</v>
      </c>
      <c r="I801" s="39" t="s">
        <v>219</v>
      </c>
      <c r="J801" s="39" t="s">
        <v>220</v>
      </c>
    </row>
    <row r="802" spans="6:10" x14ac:dyDescent="0.2">
      <c r="F802" s="47" t="s">
        <v>147</v>
      </c>
      <c r="G802" s="47" t="s">
        <v>148</v>
      </c>
      <c r="H802" s="39">
        <v>0</v>
      </c>
      <c r="I802" s="39">
        <f t="shared" ref="I802:I835" si="60">(H802*5)/1000</f>
        <v>0</v>
      </c>
      <c r="J802" s="39">
        <f t="shared" ref="J802:J835" si="61">I802/$C$26</f>
        <v>0</v>
      </c>
    </row>
    <row r="803" spans="6:10" x14ac:dyDescent="0.2">
      <c r="F803" s="47" t="s">
        <v>18</v>
      </c>
      <c r="G803" s="63" t="s">
        <v>149</v>
      </c>
      <c r="H803" s="39">
        <v>0</v>
      </c>
      <c r="I803" s="39">
        <f t="shared" si="60"/>
        <v>0</v>
      </c>
      <c r="J803" s="39">
        <f t="shared" si="61"/>
        <v>0</v>
      </c>
    </row>
    <row r="804" spans="6:10" x14ac:dyDescent="0.2">
      <c r="F804" s="47" t="s">
        <v>150</v>
      </c>
      <c r="G804" s="63" t="s">
        <v>151</v>
      </c>
      <c r="H804" s="39">
        <v>0</v>
      </c>
      <c r="I804" s="39">
        <f t="shared" si="60"/>
        <v>0</v>
      </c>
      <c r="J804" s="39">
        <f t="shared" si="61"/>
        <v>0</v>
      </c>
    </row>
    <row r="805" spans="6:10" x14ac:dyDescent="0.2">
      <c r="F805" s="47" t="s">
        <v>152</v>
      </c>
      <c r="G805" s="63" t="s">
        <v>153</v>
      </c>
      <c r="H805" s="39">
        <v>0</v>
      </c>
      <c r="I805" s="39">
        <f t="shared" si="60"/>
        <v>0</v>
      </c>
      <c r="J805" s="39">
        <f t="shared" si="61"/>
        <v>0</v>
      </c>
    </row>
    <row r="806" spans="6:10" x14ac:dyDescent="0.2">
      <c r="F806" s="47" t="s">
        <v>19</v>
      </c>
      <c r="G806" s="63" t="s">
        <v>154</v>
      </c>
      <c r="H806" s="39">
        <v>0</v>
      </c>
      <c r="I806" s="39">
        <f t="shared" si="60"/>
        <v>0</v>
      </c>
      <c r="J806" s="39">
        <f t="shared" si="61"/>
        <v>0</v>
      </c>
    </row>
    <row r="807" spans="6:10" x14ac:dyDescent="0.2">
      <c r="F807" s="67" t="s">
        <v>20</v>
      </c>
      <c r="G807" s="65" t="s">
        <v>155</v>
      </c>
      <c r="H807" s="39">
        <v>0</v>
      </c>
      <c r="I807" s="79">
        <f t="shared" si="60"/>
        <v>0</v>
      </c>
      <c r="J807" s="39">
        <f t="shared" si="61"/>
        <v>0</v>
      </c>
    </row>
    <row r="808" spans="6:10" x14ac:dyDescent="0.2">
      <c r="F808" s="47" t="s">
        <v>21</v>
      </c>
      <c r="G808" s="63" t="s">
        <v>156</v>
      </c>
      <c r="H808" s="39">
        <v>0</v>
      </c>
      <c r="I808" s="39">
        <f t="shared" si="60"/>
        <v>0</v>
      </c>
      <c r="J808" s="39">
        <f t="shared" si="61"/>
        <v>0</v>
      </c>
    </row>
    <row r="809" spans="6:10" x14ac:dyDescent="0.2">
      <c r="F809" s="47" t="s">
        <v>29</v>
      </c>
      <c r="G809" s="63" t="s">
        <v>157</v>
      </c>
      <c r="H809" s="39">
        <v>0</v>
      </c>
      <c r="I809" s="39">
        <f t="shared" si="60"/>
        <v>0</v>
      </c>
      <c r="J809" s="39">
        <f t="shared" si="61"/>
        <v>0</v>
      </c>
    </row>
    <row r="810" spans="6:10" x14ac:dyDescent="0.2">
      <c r="F810" s="47" t="s">
        <v>22</v>
      </c>
      <c r="G810" s="63" t="s">
        <v>158</v>
      </c>
      <c r="H810" s="39">
        <v>0</v>
      </c>
      <c r="I810" s="39">
        <f t="shared" si="60"/>
        <v>0</v>
      </c>
      <c r="J810" s="39">
        <f t="shared" si="61"/>
        <v>0</v>
      </c>
    </row>
    <row r="811" spans="6:10" x14ac:dyDescent="0.2">
      <c r="F811" s="47" t="s">
        <v>159</v>
      </c>
      <c r="G811" s="47" t="s">
        <v>160</v>
      </c>
      <c r="H811" s="39">
        <v>0</v>
      </c>
      <c r="I811" s="39">
        <f t="shared" si="60"/>
        <v>0</v>
      </c>
      <c r="J811" s="39">
        <f t="shared" si="61"/>
        <v>0</v>
      </c>
    </row>
    <row r="812" spans="6:10" x14ac:dyDescent="0.2">
      <c r="F812" s="47" t="s">
        <v>23</v>
      </c>
      <c r="G812" s="47" t="s">
        <v>161</v>
      </c>
      <c r="H812" s="39">
        <v>8.42</v>
      </c>
      <c r="I812" s="39">
        <f t="shared" si="60"/>
        <v>4.2099999999999999E-2</v>
      </c>
      <c r="J812" s="39">
        <f t="shared" si="61"/>
        <v>0.84199999999999664</v>
      </c>
    </row>
    <row r="813" spans="6:10" x14ac:dyDescent="0.2">
      <c r="F813" s="47" t="s">
        <v>30</v>
      </c>
      <c r="G813" s="47" t="s">
        <v>162</v>
      </c>
      <c r="H813" s="39">
        <v>2.35</v>
      </c>
      <c r="I813" s="39">
        <f t="shared" si="60"/>
        <v>1.175E-2</v>
      </c>
      <c r="J813" s="39">
        <f t="shared" si="61"/>
        <v>0.23499999999999907</v>
      </c>
    </row>
    <row r="814" spans="6:10" x14ac:dyDescent="0.2">
      <c r="F814" s="47" t="s">
        <v>24</v>
      </c>
      <c r="G814" s="47" t="s">
        <v>163</v>
      </c>
      <c r="H814" s="39">
        <v>0</v>
      </c>
      <c r="I814" s="39">
        <f t="shared" si="60"/>
        <v>0</v>
      </c>
      <c r="J814" s="39">
        <f t="shared" si="61"/>
        <v>0</v>
      </c>
    </row>
    <row r="815" spans="6:10" x14ac:dyDescent="0.2">
      <c r="F815" s="47" t="s">
        <v>31</v>
      </c>
      <c r="G815" s="47" t="s">
        <v>165</v>
      </c>
      <c r="H815" s="39">
        <v>0</v>
      </c>
      <c r="I815" s="39">
        <f t="shared" si="60"/>
        <v>0</v>
      </c>
      <c r="J815" s="39">
        <f t="shared" si="61"/>
        <v>0</v>
      </c>
    </row>
    <row r="816" spans="6:10" x14ac:dyDescent="0.2">
      <c r="F816" s="47" t="s">
        <v>25</v>
      </c>
      <c r="G816" s="47" t="s">
        <v>167</v>
      </c>
      <c r="H816" s="39">
        <v>4.33</v>
      </c>
      <c r="I816" s="39">
        <f t="shared" si="60"/>
        <v>2.1649999999999999E-2</v>
      </c>
      <c r="J816" s="39">
        <f t="shared" si="61"/>
        <v>0.43299999999999828</v>
      </c>
    </row>
    <row r="817" spans="6:10" x14ac:dyDescent="0.2">
      <c r="F817" s="47" t="s">
        <v>32</v>
      </c>
      <c r="G817" s="47" t="s">
        <v>168</v>
      </c>
      <c r="H817" s="39">
        <v>11.2</v>
      </c>
      <c r="I817" s="39">
        <f t="shared" si="60"/>
        <v>5.6000000000000001E-2</v>
      </c>
      <c r="J817" s="39">
        <f t="shared" si="61"/>
        <v>1.1199999999999957</v>
      </c>
    </row>
    <row r="818" spans="6:10" x14ac:dyDescent="0.2">
      <c r="F818" s="47" t="s">
        <v>37</v>
      </c>
      <c r="G818" s="47" t="s">
        <v>170</v>
      </c>
      <c r="H818" s="39">
        <v>0</v>
      </c>
      <c r="I818" s="39">
        <f t="shared" si="60"/>
        <v>0</v>
      </c>
      <c r="J818" s="39">
        <f t="shared" si="61"/>
        <v>0</v>
      </c>
    </row>
    <row r="819" spans="6:10" x14ac:dyDescent="0.2">
      <c r="F819" s="47" t="s">
        <v>171</v>
      </c>
      <c r="G819" s="47" t="s">
        <v>172</v>
      </c>
      <c r="H819" s="39">
        <v>0</v>
      </c>
      <c r="I819" s="39">
        <f t="shared" si="60"/>
        <v>0</v>
      </c>
      <c r="J819" s="39">
        <f t="shared" si="61"/>
        <v>0</v>
      </c>
    </row>
    <row r="820" spans="6:10" x14ac:dyDescent="0.2">
      <c r="F820" s="47" t="s">
        <v>42</v>
      </c>
      <c r="G820" s="47" t="s">
        <v>174</v>
      </c>
      <c r="H820" s="39">
        <v>0</v>
      </c>
      <c r="I820" s="39">
        <f t="shared" si="60"/>
        <v>0</v>
      </c>
      <c r="J820" s="39">
        <f t="shared" si="61"/>
        <v>0</v>
      </c>
    </row>
    <row r="821" spans="6:10" x14ac:dyDescent="0.2">
      <c r="F821" s="67" t="s">
        <v>38</v>
      </c>
      <c r="G821" s="37" t="s">
        <v>175</v>
      </c>
      <c r="H821" s="39">
        <v>0</v>
      </c>
      <c r="I821" s="39">
        <f t="shared" si="60"/>
        <v>0</v>
      </c>
      <c r="J821" s="39">
        <f t="shared" si="61"/>
        <v>0</v>
      </c>
    </row>
    <row r="822" spans="6:10" x14ac:dyDescent="0.2">
      <c r="F822" s="47" t="s">
        <v>26</v>
      </c>
      <c r="G822" s="47" t="s">
        <v>177</v>
      </c>
      <c r="H822" s="39">
        <v>0</v>
      </c>
      <c r="I822" s="39">
        <f t="shared" si="60"/>
        <v>0</v>
      </c>
      <c r="J822" s="39">
        <f t="shared" si="61"/>
        <v>0</v>
      </c>
    </row>
    <row r="823" spans="6:10" x14ac:dyDescent="0.2">
      <c r="F823" s="47" t="s">
        <v>33</v>
      </c>
      <c r="G823" s="47" t="s">
        <v>178</v>
      </c>
      <c r="H823" s="39">
        <v>1.62</v>
      </c>
      <c r="I823" s="39">
        <f t="shared" si="60"/>
        <v>8.1000000000000013E-3</v>
      </c>
      <c r="J823" s="39">
        <f t="shared" si="61"/>
        <v>0.16199999999999939</v>
      </c>
    </row>
    <row r="824" spans="6:10" x14ac:dyDescent="0.2">
      <c r="F824" s="47" t="s">
        <v>39</v>
      </c>
      <c r="G824" s="47" t="s">
        <v>180</v>
      </c>
      <c r="H824" s="39">
        <v>0</v>
      </c>
      <c r="I824" s="39">
        <f t="shared" si="60"/>
        <v>0</v>
      </c>
      <c r="J824" s="39">
        <f t="shared" si="61"/>
        <v>0</v>
      </c>
    </row>
    <row r="825" spans="6:10" x14ac:dyDescent="0.2">
      <c r="F825" s="47" t="s">
        <v>40</v>
      </c>
      <c r="G825" s="47" t="s">
        <v>182</v>
      </c>
      <c r="H825" s="39">
        <v>0</v>
      </c>
      <c r="I825" s="39">
        <f t="shared" si="60"/>
        <v>0</v>
      </c>
      <c r="J825" s="39">
        <f t="shared" si="61"/>
        <v>0</v>
      </c>
    </row>
    <row r="826" spans="6:10" x14ac:dyDescent="0.2">
      <c r="F826" s="67" t="s">
        <v>43</v>
      </c>
      <c r="G826" s="47" t="s">
        <v>184</v>
      </c>
      <c r="H826" s="39">
        <v>1.62</v>
      </c>
      <c r="I826" s="39">
        <f t="shared" si="60"/>
        <v>8.1000000000000013E-3</v>
      </c>
      <c r="J826" s="39">
        <f t="shared" si="61"/>
        <v>0.16199999999999939</v>
      </c>
    </row>
    <row r="827" spans="6:10" x14ac:dyDescent="0.2">
      <c r="F827" s="68" t="s">
        <v>186</v>
      </c>
      <c r="G827" s="68" t="s">
        <v>187</v>
      </c>
      <c r="H827" s="66">
        <v>0</v>
      </c>
      <c r="I827" s="39">
        <f t="shared" si="60"/>
        <v>0</v>
      </c>
      <c r="J827" s="39">
        <f t="shared" si="61"/>
        <v>0</v>
      </c>
    </row>
    <row r="828" spans="6:10" x14ac:dyDescent="0.2">
      <c r="F828" s="47" t="s">
        <v>44</v>
      </c>
      <c r="G828" s="47" t="s">
        <v>188</v>
      </c>
      <c r="H828" s="39">
        <v>0</v>
      </c>
      <c r="I828" s="39">
        <f t="shared" si="60"/>
        <v>0</v>
      </c>
      <c r="J828" s="39">
        <f t="shared" si="61"/>
        <v>0</v>
      </c>
    </row>
    <row r="829" spans="6:10" x14ac:dyDescent="0.2">
      <c r="F829" s="68" t="s">
        <v>164</v>
      </c>
      <c r="G829" s="68" t="s">
        <v>189</v>
      </c>
      <c r="H829" s="66">
        <v>0</v>
      </c>
      <c r="I829" s="39">
        <f t="shared" si="60"/>
        <v>0</v>
      </c>
      <c r="J829" s="39">
        <f t="shared" si="61"/>
        <v>0</v>
      </c>
    </row>
    <row r="830" spans="6:10" x14ac:dyDescent="0.2">
      <c r="F830" s="47" t="s">
        <v>166</v>
      </c>
      <c r="G830" s="47" t="s">
        <v>190</v>
      </c>
      <c r="H830" s="39">
        <v>0</v>
      </c>
      <c r="I830" s="39">
        <f t="shared" si="60"/>
        <v>0</v>
      </c>
      <c r="J830" s="39">
        <f t="shared" si="61"/>
        <v>0</v>
      </c>
    </row>
    <row r="831" spans="6:10" x14ac:dyDescent="0.2">
      <c r="F831" s="47" t="s">
        <v>34</v>
      </c>
      <c r="G831" s="47" t="s">
        <v>191</v>
      </c>
      <c r="H831" s="39">
        <v>0</v>
      </c>
      <c r="I831" s="39">
        <f t="shared" si="60"/>
        <v>0</v>
      </c>
      <c r="J831" s="39">
        <f t="shared" si="61"/>
        <v>0</v>
      </c>
    </row>
    <row r="832" spans="6:10" x14ac:dyDescent="0.2">
      <c r="F832" s="47" t="s">
        <v>27</v>
      </c>
      <c r="G832" s="47" t="s">
        <v>192</v>
      </c>
      <c r="H832" s="39">
        <v>0</v>
      </c>
      <c r="I832" s="39">
        <f t="shared" si="60"/>
        <v>0</v>
      </c>
      <c r="J832" s="39">
        <f t="shared" si="61"/>
        <v>0</v>
      </c>
    </row>
    <row r="833" spans="6:10" x14ac:dyDescent="0.2">
      <c r="F833" s="47" t="s">
        <v>45</v>
      </c>
      <c r="G833" s="47" t="s">
        <v>193</v>
      </c>
      <c r="H833" s="39">
        <v>16.760000000000002</v>
      </c>
      <c r="I833" s="39">
        <f t="shared" si="60"/>
        <v>8.3800000000000013E-2</v>
      </c>
      <c r="J833" s="39">
        <f t="shared" si="61"/>
        <v>1.6759999999999937</v>
      </c>
    </row>
    <row r="834" spans="6:10" x14ac:dyDescent="0.2">
      <c r="F834" s="47" t="s">
        <v>169</v>
      </c>
      <c r="G834" s="47" t="s">
        <v>194</v>
      </c>
      <c r="H834" s="39">
        <v>0</v>
      </c>
      <c r="I834" s="39">
        <f t="shared" si="60"/>
        <v>0</v>
      </c>
      <c r="J834" s="39">
        <f t="shared" si="61"/>
        <v>0</v>
      </c>
    </row>
    <row r="835" spans="6:10" x14ac:dyDescent="0.2">
      <c r="F835" s="47" t="s">
        <v>35</v>
      </c>
      <c r="G835" s="47" t="s">
        <v>196</v>
      </c>
      <c r="H835" s="39">
        <v>0</v>
      </c>
      <c r="I835" s="39">
        <f t="shared" si="60"/>
        <v>0</v>
      </c>
      <c r="J835" s="39">
        <f t="shared" si="61"/>
        <v>0</v>
      </c>
    </row>
    <row r="836" spans="6:10" x14ac:dyDescent="0.2">
      <c r="H836" s="39" t="s">
        <v>221</v>
      </c>
      <c r="I836" s="39">
        <f>SUM(I802:I835)</f>
        <v>0.23150000000000001</v>
      </c>
    </row>
    <row r="838" spans="6:10" ht="16" x14ac:dyDescent="0.2">
      <c r="F838" s="89"/>
      <c r="G838" s="89"/>
      <c r="H838" s="41">
        <v>720</v>
      </c>
      <c r="I838" s="89"/>
      <c r="J838" s="89"/>
    </row>
    <row r="839" spans="6:10" x14ac:dyDescent="0.2">
      <c r="F839" s="47" t="s">
        <v>216</v>
      </c>
      <c r="G839" s="47" t="s">
        <v>217</v>
      </c>
      <c r="H839" s="39" t="s">
        <v>218</v>
      </c>
      <c r="I839" s="39" t="s">
        <v>219</v>
      </c>
      <c r="J839" s="39" t="s">
        <v>220</v>
      </c>
    </row>
    <row r="840" spans="6:10" x14ac:dyDescent="0.2">
      <c r="F840" s="47" t="s">
        <v>147</v>
      </c>
      <c r="G840" s="47" t="s">
        <v>148</v>
      </c>
      <c r="H840" s="39">
        <v>0</v>
      </c>
      <c r="I840" s="39">
        <f t="shared" ref="I840:I873" si="62">(H840*5)/1000</f>
        <v>0</v>
      </c>
      <c r="J840" s="39">
        <f t="shared" ref="J840:J873" si="63">I840/$C$27</f>
        <v>0</v>
      </c>
    </row>
    <row r="841" spans="6:10" x14ac:dyDescent="0.2">
      <c r="F841" s="47" t="s">
        <v>18</v>
      </c>
      <c r="G841" s="63" t="s">
        <v>149</v>
      </c>
      <c r="H841" s="39">
        <v>0</v>
      </c>
      <c r="I841" s="39">
        <f t="shared" si="62"/>
        <v>0</v>
      </c>
      <c r="J841" s="39">
        <f t="shared" si="63"/>
        <v>0</v>
      </c>
    </row>
    <row r="842" spans="6:10" x14ac:dyDescent="0.2">
      <c r="F842" s="47" t="s">
        <v>150</v>
      </c>
      <c r="G842" s="63" t="s">
        <v>151</v>
      </c>
      <c r="H842" s="39">
        <v>0</v>
      </c>
      <c r="I842" s="39">
        <f t="shared" si="62"/>
        <v>0</v>
      </c>
      <c r="J842" s="39">
        <f t="shared" si="63"/>
        <v>0</v>
      </c>
    </row>
    <row r="843" spans="6:10" x14ac:dyDescent="0.2">
      <c r="F843" s="47" t="s">
        <v>152</v>
      </c>
      <c r="G843" s="63" t="s">
        <v>153</v>
      </c>
      <c r="H843" s="39">
        <v>0</v>
      </c>
      <c r="I843" s="39">
        <f t="shared" si="62"/>
        <v>0</v>
      </c>
      <c r="J843" s="39">
        <f t="shared" si="63"/>
        <v>0</v>
      </c>
    </row>
    <row r="844" spans="6:10" x14ac:dyDescent="0.2">
      <c r="F844" s="47" t="s">
        <v>19</v>
      </c>
      <c r="G844" s="63" t="s">
        <v>154</v>
      </c>
      <c r="H844" s="39">
        <v>0</v>
      </c>
      <c r="I844" s="39">
        <f t="shared" si="62"/>
        <v>0</v>
      </c>
      <c r="J844" s="39">
        <f t="shared" si="63"/>
        <v>0</v>
      </c>
    </row>
    <row r="845" spans="6:10" x14ac:dyDescent="0.2">
      <c r="F845" s="67" t="s">
        <v>20</v>
      </c>
      <c r="G845" s="65" t="s">
        <v>155</v>
      </c>
      <c r="H845" s="39">
        <v>0</v>
      </c>
      <c r="I845" s="39">
        <f t="shared" si="62"/>
        <v>0</v>
      </c>
      <c r="J845" s="39">
        <f t="shared" si="63"/>
        <v>0</v>
      </c>
    </row>
    <row r="846" spans="6:10" x14ac:dyDescent="0.2">
      <c r="F846" s="47" t="s">
        <v>21</v>
      </c>
      <c r="G846" s="63" t="s">
        <v>156</v>
      </c>
      <c r="H846" s="39">
        <v>1.24</v>
      </c>
      <c r="I846" s="39">
        <f t="shared" si="62"/>
        <v>6.1999999999999998E-3</v>
      </c>
      <c r="J846" s="39">
        <f t="shared" si="63"/>
        <v>0.12399999999999951</v>
      </c>
    </row>
    <row r="847" spans="6:10" x14ac:dyDescent="0.2">
      <c r="F847" s="47" t="s">
        <v>29</v>
      </c>
      <c r="G847" s="63" t="s">
        <v>157</v>
      </c>
      <c r="H847" s="39">
        <v>0</v>
      </c>
      <c r="I847" s="39">
        <f t="shared" si="62"/>
        <v>0</v>
      </c>
      <c r="J847" s="39">
        <f t="shared" si="63"/>
        <v>0</v>
      </c>
    </row>
    <row r="848" spans="6:10" x14ac:dyDescent="0.2">
      <c r="F848" s="47" t="s">
        <v>22</v>
      </c>
      <c r="G848" s="63" t="s">
        <v>158</v>
      </c>
      <c r="H848" s="39">
        <v>0</v>
      </c>
      <c r="I848" s="39">
        <f t="shared" si="62"/>
        <v>0</v>
      </c>
      <c r="J848" s="39">
        <f t="shared" si="63"/>
        <v>0</v>
      </c>
    </row>
    <row r="849" spans="6:10" x14ac:dyDescent="0.2">
      <c r="F849" s="47" t="s">
        <v>159</v>
      </c>
      <c r="G849" s="47" t="s">
        <v>160</v>
      </c>
      <c r="H849" s="39">
        <v>0</v>
      </c>
      <c r="I849" s="39">
        <f t="shared" si="62"/>
        <v>0</v>
      </c>
      <c r="J849" s="39">
        <f t="shared" si="63"/>
        <v>0</v>
      </c>
    </row>
    <row r="850" spans="6:10" x14ac:dyDescent="0.2">
      <c r="F850" s="47" t="s">
        <v>23</v>
      </c>
      <c r="G850" s="47" t="s">
        <v>161</v>
      </c>
      <c r="H850" s="39">
        <v>19.600000000000001</v>
      </c>
      <c r="I850" s="39">
        <f t="shared" si="62"/>
        <v>9.8000000000000004E-2</v>
      </c>
      <c r="J850" s="39">
        <f t="shared" si="63"/>
        <v>1.9599999999999924</v>
      </c>
    </row>
    <row r="851" spans="6:10" x14ac:dyDescent="0.2">
      <c r="F851" s="47" t="s">
        <v>30</v>
      </c>
      <c r="G851" s="47" t="s">
        <v>162</v>
      </c>
      <c r="H851" s="39">
        <v>2.75</v>
      </c>
      <c r="I851" s="39">
        <f t="shared" si="62"/>
        <v>1.375E-2</v>
      </c>
      <c r="J851" s="39">
        <f t="shared" si="63"/>
        <v>0.27499999999999891</v>
      </c>
    </row>
    <row r="852" spans="6:10" x14ac:dyDescent="0.2">
      <c r="F852" s="47" t="s">
        <v>24</v>
      </c>
      <c r="G852" s="47" t="s">
        <v>163</v>
      </c>
      <c r="H852" s="39">
        <v>1.2</v>
      </c>
      <c r="I852" s="39">
        <f t="shared" si="62"/>
        <v>6.0000000000000001E-3</v>
      </c>
      <c r="J852" s="39">
        <f t="shared" si="63"/>
        <v>0.11999999999999952</v>
      </c>
    </row>
    <row r="853" spans="6:10" x14ac:dyDescent="0.2">
      <c r="F853" s="47" t="s">
        <v>31</v>
      </c>
      <c r="G853" s="47" t="s">
        <v>165</v>
      </c>
      <c r="H853" s="39">
        <v>0</v>
      </c>
      <c r="I853" s="39">
        <f t="shared" si="62"/>
        <v>0</v>
      </c>
      <c r="J853" s="39">
        <f t="shared" si="63"/>
        <v>0</v>
      </c>
    </row>
    <row r="854" spans="6:10" x14ac:dyDescent="0.2">
      <c r="F854" s="47" t="s">
        <v>25</v>
      </c>
      <c r="G854" s="47" t="s">
        <v>167</v>
      </c>
      <c r="H854" s="39">
        <v>9.59</v>
      </c>
      <c r="I854" s="39">
        <f t="shared" si="62"/>
        <v>4.795E-2</v>
      </c>
      <c r="J854" s="39">
        <f t="shared" si="63"/>
        <v>0.95899999999999619</v>
      </c>
    </row>
    <row r="855" spans="6:10" x14ac:dyDescent="0.2">
      <c r="F855" s="47" t="s">
        <v>32</v>
      </c>
      <c r="G855" s="47" t="s">
        <v>168</v>
      </c>
      <c r="H855" s="39">
        <v>25.24</v>
      </c>
      <c r="I855" s="39">
        <f t="shared" si="62"/>
        <v>0.12619999999999998</v>
      </c>
      <c r="J855" s="39">
        <f t="shared" si="63"/>
        <v>2.5239999999999898</v>
      </c>
    </row>
    <row r="856" spans="6:10" x14ac:dyDescent="0.2">
      <c r="F856" s="47" t="s">
        <v>37</v>
      </c>
      <c r="G856" s="47" t="s">
        <v>170</v>
      </c>
      <c r="H856" s="39">
        <v>0</v>
      </c>
      <c r="I856" s="39">
        <f t="shared" si="62"/>
        <v>0</v>
      </c>
      <c r="J856" s="39">
        <f t="shared" si="63"/>
        <v>0</v>
      </c>
    </row>
    <row r="857" spans="6:10" x14ac:dyDescent="0.2">
      <c r="F857" s="47" t="s">
        <v>171</v>
      </c>
      <c r="G857" s="47" t="s">
        <v>172</v>
      </c>
      <c r="H857" s="39">
        <v>0</v>
      </c>
      <c r="I857" s="39">
        <f t="shared" si="62"/>
        <v>0</v>
      </c>
      <c r="J857" s="39">
        <f t="shared" si="63"/>
        <v>0</v>
      </c>
    </row>
    <row r="858" spans="6:10" x14ac:dyDescent="0.2">
      <c r="F858" s="47" t="s">
        <v>42</v>
      </c>
      <c r="G858" s="47" t="s">
        <v>174</v>
      </c>
      <c r="H858" s="39">
        <v>0</v>
      </c>
      <c r="I858" s="39">
        <f t="shared" si="62"/>
        <v>0</v>
      </c>
      <c r="J858" s="39">
        <f t="shared" si="63"/>
        <v>0</v>
      </c>
    </row>
    <row r="859" spans="6:10" x14ac:dyDescent="0.2">
      <c r="F859" s="67" t="s">
        <v>38</v>
      </c>
      <c r="G859" s="37" t="s">
        <v>175</v>
      </c>
      <c r="H859" s="39">
        <v>0</v>
      </c>
      <c r="I859" s="39">
        <f t="shared" si="62"/>
        <v>0</v>
      </c>
      <c r="J859" s="39">
        <f t="shared" si="63"/>
        <v>0</v>
      </c>
    </row>
    <row r="860" spans="6:10" x14ac:dyDescent="0.2">
      <c r="F860" s="47" t="s">
        <v>26</v>
      </c>
      <c r="G860" s="47" t="s">
        <v>177</v>
      </c>
      <c r="H860" s="39">
        <v>0</v>
      </c>
      <c r="I860" s="39">
        <f t="shared" si="62"/>
        <v>0</v>
      </c>
      <c r="J860" s="39">
        <f t="shared" si="63"/>
        <v>0</v>
      </c>
    </row>
    <row r="861" spans="6:10" x14ac:dyDescent="0.2">
      <c r="F861" s="47" t="s">
        <v>33</v>
      </c>
      <c r="G861" s="47" t="s">
        <v>178</v>
      </c>
      <c r="H861" s="39">
        <v>2.4700000000000002</v>
      </c>
      <c r="I861" s="39">
        <f t="shared" si="62"/>
        <v>1.2350000000000002E-2</v>
      </c>
      <c r="J861" s="39">
        <f t="shared" si="63"/>
        <v>0.24699999999999905</v>
      </c>
    </row>
    <row r="862" spans="6:10" x14ac:dyDescent="0.2">
      <c r="F862" s="47" t="s">
        <v>39</v>
      </c>
      <c r="G862" s="47" t="s">
        <v>180</v>
      </c>
      <c r="H862" s="39">
        <v>0</v>
      </c>
      <c r="I862" s="39">
        <f t="shared" si="62"/>
        <v>0</v>
      </c>
      <c r="J862" s="39">
        <f t="shared" si="63"/>
        <v>0</v>
      </c>
    </row>
    <row r="863" spans="6:10" x14ac:dyDescent="0.2">
      <c r="F863" s="47" t="s">
        <v>40</v>
      </c>
      <c r="G863" s="47" t="s">
        <v>182</v>
      </c>
      <c r="H863" s="39">
        <v>0</v>
      </c>
      <c r="I863" s="39">
        <f t="shared" si="62"/>
        <v>0</v>
      </c>
      <c r="J863" s="39">
        <f t="shared" si="63"/>
        <v>0</v>
      </c>
    </row>
    <row r="864" spans="6:10" x14ac:dyDescent="0.2">
      <c r="F864" s="67" t="s">
        <v>43</v>
      </c>
      <c r="G864" s="47" t="s">
        <v>184</v>
      </c>
      <c r="H864" s="39">
        <v>1.58</v>
      </c>
      <c r="I864" s="39">
        <f t="shared" si="62"/>
        <v>7.9000000000000008E-3</v>
      </c>
      <c r="J864" s="39">
        <f t="shared" si="63"/>
        <v>0.15799999999999939</v>
      </c>
    </row>
    <row r="865" spans="6:10" x14ac:dyDescent="0.2">
      <c r="F865" s="68" t="s">
        <v>186</v>
      </c>
      <c r="G865" s="68" t="s">
        <v>187</v>
      </c>
      <c r="H865" s="83">
        <v>0</v>
      </c>
      <c r="I865" s="39">
        <f t="shared" si="62"/>
        <v>0</v>
      </c>
      <c r="J865" s="39">
        <f t="shared" si="63"/>
        <v>0</v>
      </c>
    </row>
    <row r="866" spans="6:10" x14ac:dyDescent="0.2">
      <c r="F866" s="47" t="s">
        <v>44</v>
      </c>
      <c r="G866" s="47" t="s">
        <v>188</v>
      </c>
      <c r="H866" s="39">
        <v>0</v>
      </c>
      <c r="I866" s="39">
        <f t="shared" si="62"/>
        <v>0</v>
      </c>
      <c r="J866" s="39">
        <f t="shared" si="63"/>
        <v>0</v>
      </c>
    </row>
    <row r="867" spans="6:10" x14ac:dyDescent="0.2">
      <c r="F867" s="68" t="s">
        <v>164</v>
      </c>
      <c r="G867" s="68" t="s">
        <v>189</v>
      </c>
      <c r="H867" s="83">
        <v>0</v>
      </c>
      <c r="I867" s="39">
        <f t="shared" si="62"/>
        <v>0</v>
      </c>
      <c r="J867" s="39">
        <f t="shared" si="63"/>
        <v>0</v>
      </c>
    </row>
    <row r="868" spans="6:10" x14ac:dyDescent="0.2">
      <c r="F868" s="47" t="s">
        <v>166</v>
      </c>
      <c r="G868" s="47" t="s">
        <v>190</v>
      </c>
      <c r="H868" s="39">
        <v>0</v>
      </c>
      <c r="I868" s="39">
        <f t="shared" si="62"/>
        <v>0</v>
      </c>
      <c r="J868" s="39">
        <f t="shared" si="63"/>
        <v>0</v>
      </c>
    </row>
    <row r="869" spans="6:10" x14ac:dyDescent="0.2">
      <c r="F869" s="47" t="s">
        <v>34</v>
      </c>
      <c r="G869" s="47" t="s">
        <v>191</v>
      </c>
      <c r="H869" s="39">
        <v>0</v>
      </c>
      <c r="I869" s="39">
        <f t="shared" si="62"/>
        <v>0</v>
      </c>
      <c r="J869" s="39">
        <f t="shared" si="63"/>
        <v>0</v>
      </c>
    </row>
    <row r="870" spans="6:10" x14ac:dyDescent="0.2">
      <c r="F870" s="47" t="s">
        <v>27</v>
      </c>
      <c r="G870" s="47" t="s">
        <v>192</v>
      </c>
      <c r="H870" s="39">
        <v>0</v>
      </c>
      <c r="I870" s="39">
        <f t="shared" si="62"/>
        <v>0</v>
      </c>
      <c r="J870" s="39">
        <f t="shared" si="63"/>
        <v>0</v>
      </c>
    </row>
    <row r="871" spans="6:10" x14ac:dyDescent="0.2">
      <c r="F871" s="47" t="s">
        <v>45</v>
      </c>
      <c r="G871" s="47" t="s">
        <v>193</v>
      </c>
      <c r="H871" s="39">
        <v>14.9</v>
      </c>
      <c r="I871" s="39">
        <f t="shared" si="62"/>
        <v>7.4499999999999997E-2</v>
      </c>
      <c r="J871" s="39">
        <f t="shared" si="63"/>
        <v>1.489999999999994</v>
      </c>
    </row>
    <row r="872" spans="6:10" x14ac:dyDescent="0.2">
      <c r="F872" s="47" t="s">
        <v>169</v>
      </c>
      <c r="G872" s="47" t="s">
        <v>194</v>
      </c>
      <c r="H872" s="39">
        <v>0</v>
      </c>
      <c r="I872" s="39">
        <f t="shared" si="62"/>
        <v>0</v>
      </c>
      <c r="J872" s="39">
        <f t="shared" si="63"/>
        <v>0</v>
      </c>
    </row>
    <row r="873" spans="6:10" x14ac:dyDescent="0.2">
      <c r="F873" s="90" t="s">
        <v>35</v>
      </c>
      <c r="G873" s="47" t="s">
        <v>196</v>
      </c>
      <c r="H873" s="39">
        <v>0</v>
      </c>
      <c r="I873" s="91">
        <f t="shared" si="62"/>
        <v>0</v>
      </c>
      <c r="J873" s="39">
        <f t="shared" si="63"/>
        <v>0</v>
      </c>
    </row>
    <row r="874" spans="6:10" x14ac:dyDescent="0.2">
      <c r="F874" s="81"/>
      <c r="G874" s="81"/>
      <c r="H874" s="39" t="s">
        <v>221</v>
      </c>
      <c r="I874" s="39">
        <f>SUM(I840:I873)</f>
        <v>0.39285000000000003</v>
      </c>
      <c r="J874" s="81"/>
    </row>
    <row r="876" spans="6:10" ht="16" x14ac:dyDescent="0.2">
      <c r="H876" s="36">
        <v>264</v>
      </c>
      <c r="I876" s="40"/>
    </row>
    <row r="877" spans="6:10" x14ac:dyDescent="0.2">
      <c r="F877" s="47" t="s">
        <v>216</v>
      </c>
      <c r="G877" s="47" t="s">
        <v>217</v>
      </c>
      <c r="H877" s="39" t="s">
        <v>218</v>
      </c>
      <c r="I877" s="39" t="s">
        <v>219</v>
      </c>
      <c r="J877" s="39" t="s">
        <v>220</v>
      </c>
    </row>
    <row r="878" spans="6:10" x14ac:dyDescent="0.2">
      <c r="F878" s="47" t="s">
        <v>147</v>
      </c>
      <c r="G878" s="47" t="s">
        <v>148</v>
      </c>
      <c r="H878" s="39">
        <v>0</v>
      </c>
      <c r="I878" s="39">
        <f t="shared" ref="I878:I911" si="64">(H878*5)/1000</f>
        <v>0</v>
      </c>
      <c r="J878" s="39">
        <f t="shared" ref="J878:J911" si="65">I878/$C$28</f>
        <v>0</v>
      </c>
    </row>
    <row r="879" spans="6:10" x14ac:dyDescent="0.2">
      <c r="F879" s="47" t="s">
        <v>18</v>
      </c>
      <c r="G879" s="63" t="s">
        <v>149</v>
      </c>
      <c r="H879" s="39">
        <v>0</v>
      </c>
      <c r="I879" s="39">
        <f t="shared" si="64"/>
        <v>0</v>
      </c>
      <c r="J879" s="39">
        <f t="shared" si="65"/>
        <v>0</v>
      </c>
    </row>
    <row r="880" spans="6:10" x14ac:dyDescent="0.2">
      <c r="F880" s="47" t="s">
        <v>150</v>
      </c>
      <c r="G880" s="63" t="s">
        <v>151</v>
      </c>
      <c r="H880" s="39">
        <v>0</v>
      </c>
      <c r="I880" s="39">
        <f t="shared" si="64"/>
        <v>0</v>
      </c>
      <c r="J880" s="39">
        <f t="shared" si="65"/>
        <v>0</v>
      </c>
    </row>
    <row r="881" spans="6:10" x14ac:dyDescent="0.2">
      <c r="F881" s="47" t="s">
        <v>152</v>
      </c>
      <c r="G881" s="63" t="s">
        <v>153</v>
      </c>
      <c r="H881" s="39">
        <v>0</v>
      </c>
      <c r="I881" s="39">
        <f t="shared" si="64"/>
        <v>0</v>
      </c>
      <c r="J881" s="39">
        <f t="shared" si="65"/>
        <v>0</v>
      </c>
    </row>
    <row r="882" spans="6:10" x14ac:dyDescent="0.2">
      <c r="F882" s="47" t="s">
        <v>19</v>
      </c>
      <c r="G882" s="63" t="s">
        <v>154</v>
      </c>
      <c r="H882" s="39">
        <v>0</v>
      </c>
      <c r="I882" s="39">
        <f t="shared" si="64"/>
        <v>0</v>
      </c>
      <c r="J882" s="39">
        <f t="shared" si="65"/>
        <v>0</v>
      </c>
    </row>
    <row r="883" spans="6:10" x14ac:dyDescent="0.2">
      <c r="F883" s="47" t="s">
        <v>20</v>
      </c>
      <c r="G883" s="65" t="s">
        <v>155</v>
      </c>
      <c r="H883" s="39">
        <v>0</v>
      </c>
      <c r="I883" s="39">
        <f t="shared" si="64"/>
        <v>0</v>
      </c>
      <c r="J883" s="39">
        <f t="shared" si="65"/>
        <v>0</v>
      </c>
    </row>
    <row r="884" spans="6:10" x14ac:dyDescent="0.2">
      <c r="F884" s="47" t="s">
        <v>21</v>
      </c>
      <c r="G884" s="63" t="s">
        <v>156</v>
      </c>
      <c r="H884" s="39">
        <v>0</v>
      </c>
      <c r="I884" s="39">
        <f t="shared" si="64"/>
        <v>0</v>
      </c>
      <c r="J884" s="39">
        <f t="shared" si="65"/>
        <v>0</v>
      </c>
    </row>
    <row r="885" spans="6:10" x14ac:dyDescent="0.2">
      <c r="F885" s="47" t="s">
        <v>29</v>
      </c>
      <c r="G885" s="63" t="s">
        <v>157</v>
      </c>
      <c r="H885" s="39">
        <v>0</v>
      </c>
      <c r="I885" s="39">
        <f t="shared" si="64"/>
        <v>0</v>
      </c>
      <c r="J885" s="39">
        <f t="shared" si="65"/>
        <v>0</v>
      </c>
    </row>
    <row r="886" spans="6:10" x14ac:dyDescent="0.2">
      <c r="F886" s="47" t="s">
        <v>22</v>
      </c>
      <c r="G886" s="63" t="s">
        <v>158</v>
      </c>
      <c r="H886" s="39">
        <v>0</v>
      </c>
      <c r="I886" s="39">
        <f t="shared" si="64"/>
        <v>0</v>
      </c>
      <c r="J886" s="39">
        <f t="shared" si="65"/>
        <v>0</v>
      </c>
    </row>
    <row r="887" spans="6:10" x14ac:dyDescent="0.2">
      <c r="F887" s="47" t="s">
        <v>159</v>
      </c>
      <c r="G887" s="47" t="s">
        <v>160</v>
      </c>
      <c r="H887" s="39">
        <v>0</v>
      </c>
      <c r="I887" s="39">
        <f t="shared" si="64"/>
        <v>0</v>
      </c>
      <c r="J887" s="39">
        <f t="shared" si="65"/>
        <v>0</v>
      </c>
    </row>
    <row r="888" spans="6:10" x14ac:dyDescent="0.2">
      <c r="F888" s="47" t="s">
        <v>23</v>
      </c>
      <c r="G888" s="47" t="s">
        <v>161</v>
      </c>
      <c r="H888" s="39">
        <v>2.65</v>
      </c>
      <c r="I888" s="39">
        <f t="shared" si="64"/>
        <v>1.325E-2</v>
      </c>
      <c r="J888" s="39">
        <f t="shared" si="65"/>
        <v>0.26499999999999896</v>
      </c>
    </row>
    <row r="889" spans="6:10" x14ac:dyDescent="0.2">
      <c r="F889" s="47" t="s">
        <v>30</v>
      </c>
      <c r="G889" s="47" t="s">
        <v>162</v>
      </c>
      <c r="H889" s="39">
        <v>0</v>
      </c>
      <c r="I889" s="39">
        <f t="shared" si="64"/>
        <v>0</v>
      </c>
      <c r="J889" s="39">
        <f t="shared" si="65"/>
        <v>0</v>
      </c>
    </row>
    <row r="890" spans="6:10" x14ac:dyDescent="0.2">
      <c r="F890" s="47" t="s">
        <v>24</v>
      </c>
      <c r="G890" s="47" t="s">
        <v>163</v>
      </c>
      <c r="H890" s="39">
        <v>0</v>
      </c>
      <c r="I890" s="39">
        <f t="shared" si="64"/>
        <v>0</v>
      </c>
      <c r="J890" s="39">
        <f t="shared" si="65"/>
        <v>0</v>
      </c>
    </row>
    <row r="891" spans="6:10" x14ac:dyDescent="0.2">
      <c r="F891" s="47" t="s">
        <v>31</v>
      </c>
      <c r="G891" s="47" t="s">
        <v>165</v>
      </c>
      <c r="H891" s="39">
        <v>0</v>
      </c>
      <c r="I891" s="39">
        <f t="shared" si="64"/>
        <v>0</v>
      </c>
      <c r="J891" s="39">
        <f t="shared" si="65"/>
        <v>0</v>
      </c>
    </row>
    <row r="892" spans="6:10" x14ac:dyDescent="0.2">
      <c r="F892" s="47" t="s">
        <v>25</v>
      </c>
      <c r="G892" s="47" t="s">
        <v>167</v>
      </c>
      <c r="H892" s="39">
        <v>1.7</v>
      </c>
      <c r="I892" s="39">
        <f t="shared" si="64"/>
        <v>8.5000000000000006E-3</v>
      </c>
      <c r="J892" s="39">
        <f t="shared" si="65"/>
        <v>0.16999999999999935</v>
      </c>
    </row>
    <row r="893" spans="6:10" x14ac:dyDescent="0.2">
      <c r="F893" s="47" t="s">
        <v>32</v>
      </c>
      <c r="G893" s="47" t="s">
        <v>168</v>
      </c>
      <c r="H893" s="39">
        <v>1.04</v>
      </c>
      <c r="I893" s="39">
        <f t="shared" si="64"/>
        <v>5.1999999999999998E-3</v>
      </c>
      <c r="J893" s="39">
        <f t="shared" si="65"/>
        <v>0.10399999999999958</v>
      </c>
    </row>
    <row r="894" spans="6:10" x14ac:dyDescent="0.2">
      <c r="F894" s="47" t="s">
        <v>37</v>
      </c>
      <c r="G894" s="47" t="s">
        <v>170</v>
      </c>
      <c r="H894" s="39">
        <v>0</v>
      </c>
      <c r="I894" s="39">
        <f t="shared" si="64"/>
        <v>0</v>
      </c>
      <c r="J894" s="39">
        <f t="shared" si="65"/>
        <v>0</v>
      </c>
    </row>
    <row r="895" spans="6:10" x14ac:dyDescent="0.2">
      <c r="F895" s="47" t="s">
        <v>171</v>
      </c>
      <c r="G895" s="47" t="s">
        <v>172</v>
      </c>
      <c r="H895" s="39">
        <v>0</v>
      </c>
      <c r="I895" s="39">
        <f t="shared" si="64"/>
        <v>0</v>
      </c>
      <c r="J895" s="39">
        <f t="shared" si="65"/>
        <v>0</v>
      </c>
    </row>
    <row r="896" spans="6:10" x14ac:dyDescent="0.2">
      <c r="F896" s="47" t="s">
        <v>42</v>
      </c>
      <c r="G896" s="47" t="s">
        <v>174</v>
      </c>
      <c r="H896" s="39">
        <v>0</v>
      </c>
      <c r="I896" s="39">
        <f t="shared" si="64"/>
        <v>0</v>
      </c>
      <c r="J896" s="39">
        <f t="shared" si="65"/>
        <v>0</v>
      </c>
    </row>
    <row r="897" spans="6:10" x14ac:dyDescent="0.2">
      <c r="F897" s="47" t="s">
        <v>38</v>
      </c>
      <c r="G897" s="37" t="s">
        <v>175</v>
      </c>
      <c r="H897" s="39">
        <v>0</v>
      </c>
      <c r="I897" s="39">
        <f t="shared" si="64"/>
        <v>0</v>
      </c>
      <c r="J897" s="39">
        <f t="shared" si="65"/>
        <v>0</v>
      </c>
    </row>
    <row r="898" spans="6:10" x14ac:dyDescent="0.2">
      <c r="F898" s="47" t="s">
        <v>26</v>
      </c>
      <c r="G898" s="47" t="s">
        <v>177</v>
      </c>
      <c r="H898" s="39">
        <v>0</v>
      </c>
      <c r="I898" s="39">
        <f t="shared" si="64"/>
        <v>0</v>
      </c>
      <c r="J898" s="39">
        <f t="shared" si="65"/>
        <v>0</v>
      </c>
    </row>
    <row r="899" spans="6:10" x14ac:dyDescent="0.2">
      <c r="F899" s="47" t="s">
        <v>33</v>
      </c>
      <c r="G899" s="47" t="s">
        <v>178</v>
      </c>
      <c r="H899" s="39">
        <v>0</v>
      </c>
      <c r="I899" s="39">
        <f t="shared" si="64"/>
        <v>0</v>
      </c>
      <c r="J899" s="39">
        <f t="shared" si="65"/>
        <v>0</v>
      </c>
    </row>
    <row r="900" spans="6:10" x14ac:dyDescent="0.2">
      <c r="F900" s="47" t="s">
        <v>39</v>
      </c>
      <c r="G900" s="47" t="s">
        <v>180</v>
      </c>
      <c r="H900" s="39">
        <v>0</v>
      </c>
      <c r="I900" s="39">
        <f t="shared" si="64"/>
        <v>0</v>
      </c>
      <c r="J900" s="39">
        <f t="shared" si="65"/>
        <v>0</v>
      </c>
    </row>
    <row r="901" spans="6:10" x14ac:dyDescent="0.2">
      <c r="F901" s="47" t="s">
        <v>40</v>
      </c>
      <c r="G901" s="47" t="s">
        <v>182</v>
      </c>
      <c r="H901" s="39">
        <v>0</v>
      </c>
      <c r="I901" s="39">
        <f t="shared" si="64"/>
        <v>0</v>
      </c>
      <c r="J901" s="39">
        <f t="shared" si="65"/>
        <v>0</v>
      </c>
    </row>
    <row r="902" spans="6:10" x14ac:dyDescent="0.2">
      <c r="F902" s="47" t="s">
        <v>43</v>
      </c>
      <c r="G902" s="47" t="s">
        <v>184</v>
      </c>
      <c r="H902" s="39">
        <v>0</v>
      </c>
      <c r="I902" s="39">
        <f t="shared" si="64"/>
        <v>0</v>
      </c>
      <c r="J902" s="39">
        <f t="shared" si="65"/>
        <v>0</v>
      </c>
    </row>
    <row r="903" spans="6:10" x14ac:dyDescent="0.2">
      <c r="F903" s="68" t="s">
        <v>186</v>
      </c>
      <c r="G903" s="68" t="s">
        <v>187</v>
      </c>
      <c r="H903" s="39">
        <v>0</v>
      </c>
      <c r="I903" s="39">
        <f t="shared" si="64"/>
        <v>0</v>
      </c>
      <c r="J903" s="39">
        <f t="shared" si="65"/>
        <v>0</v>
      </c>
    </row>
    <row r="904" spans="6:10" x14ac:dyDescent="0.2">
      <c r="F904" s="47" t="s">
        <v>44</v>
      </c>
      <c r="G904" s="47" t="s">
        <v>188</v>
      </c>
      <c r="H904" s="39">
        <v>0</v>
      </c>
      <c r="I904" s="39">
        <f t="shared" si="64"/>
        <v>0</v>
      </c>
      <c r="J904" s="39">
        <f t="shared" si="65"/>
        <v>0</v>
      </c>
    </row>
    <row r="905" spans="6:10" x14ac:dyDescent="0.2">
      <c r="F905" s="68" t="s">
        <v>164</v>
      </c>
      <c r="G905" s="68" t="s">
        <v>189</v>
      </c>
      <c r="H905" s="39">
        <v>0</v>
      </c>
      <c r="I905" s="39">
        <f t="shared" si="64"/>
        <v>0</v>
      </c>
      <c r="J905" s="39">
        <f t="shared" si="65"/>
        <v>0</v>
      </c>
    </row>
    <row r="906" spans="6:10" x14ac:dyDescent="0.2">
      <c r="F906" s="47" t="s">
        <v>166</v>
      </c>
      <c r="G906" s="47" t="s">
        <v>190</v>
      </c>
      <c r="H906" s="39">
        <v>0</v>
      </c>
      <c r="I906" s="39">
        <f t="shared" si="64"/>
        <v>0</v>
      </c>
      <c r="J906" s="39">
        <f t="shared" si="65"/>
        <v>0</v>
      </c>
    </row>
    <row r="907" spans="6:10" x14ac:dyDescent="0.2">
      <c r="F907" s="47" t="s">
        <v>34</v>
      </c>
      <c r="G907" s="47" t="s">
        <v>191</v>
      </c>
      <c r="H907" s="39">
        <v>0</v>
      </c>
      <c r="I907" s="39">
        <f t="shared" si="64"/>
        <v>0</v>
      </c>
      <c r="J907" s="39">
        <f t="shared" si="65"/>
        <v>0</v>
      </c>
    </row>
    <row r="908" spans="6:10" x14ac:dyDescent="0.2">
      <c r="F908" s="47" t="s">
        <v>27</v>
      </c>
      <c r="G908" s="47" t="s">
        <v>192</v>
      </c>
      <c r="H908" s="39">
        <v>0</v>
      </c>
      <c r="I908" s="39">
        <f t="shared" si="64"/>
        <v>0</v>
      </c>
      <c r="J908" s="39">
        <f t="shared" si="65"/>
        <v>0</v>
      </c>
    </row>
    <row r="909" spans="6:10" x14ac:dyDescent="0.2">
      <c r="F909" s="47" t="s">
        <v>45</v>
      </c>
      <c r="G909" s="47" t="s">
        <v>193</v>
      </c>
      <c r="H909" s="39">
        <v>0</v>
      </c>
      <c r="I909" s="39">
        <f t="shared" si="64"/>
        <v>0</v>
      </c>
      <c r="J909" s="39">
        <f t="shared" si="65"/>
        <v>0</v>
      </c>
    </row>
    <row r="910" spans="6:10" x14ac:dyDescent="0.2">
      <c r="F910" s="47" t="s">
        <v>169</v>
      </c>
      <c r="G910" s="47" t="s">
        <v>194</v>
      </c>
      <c r="H910" s="39">
        <v>0</v>
      </c>
      <c r="I910" s="39">
        <f t="shared" si="64"/>
        <v>0</v>
      </c>
      <c r="J910" s="39">
        <f t="shared" si="65"/>
        <v>0</v>
      </c>
    </row>
    <row r="911" spans="6:10" x14ac:dyDescent="0.2">
      <c r="F911" s="47" t="s">
        <v>35</v>
      </c>
      <c r="G911" s="47" t="s">
        <v>196</v>
      </c>
      <c r="H911" s="39">
        <v>0</v>
      </c>
      <c r="I911" s="39">
        <f t="shared" si="64"/>
        <v>0</v>
      </c>
      <c r="J911" s="39">
        <f t="shared" si="65"/>
        <v>0</v>
      </c>
    </row>
    <row r="912" spans="6:10" x14ac:dyDescent="0.2">
      <c r="H912" s="39" t="s">
        <v>221</v>
      </c>
      <c r="I912" s="39">
        <f>SUM(I878:I911)</f>
        <v>2.6949999999999998E-2</v>
      </c>
    </row>
    <row r="914" spans="6:10" x14ac:dyDescent="0.2">
      <c r="H914" s="82">
        <v>130</v>
      </c>
      <c r="I914" s="84"/>
    </row>
    <row r="915" spans="6:10" x14ac:dyDescent="0.2">
      <c r="F915" s="47" t="s">
        <v>216</v>
      </c>
      <c r="G915" s="47" t="s">
        <v>217</v>
      </c>
      <c r="H915" s="39" t="s">
        <v>218</v>
      </c>
      <c r="I915" s="39" t="s">
        <v>219</v>
      </c>
      <c r="J915" s="39" t="s">
        <v>220</v>
      </c>
    </row>
    <row r="916" spans="6:10" x14ac:dyDescent="0.2">
      <c r="F916" s="68" t="s">
        <v>147</v>
      </c>
      <c r="G916" s="47" t="s">
        <v>148</v>
      </c>
      <c r="H916" s="39">
        <v>0</v>
      </c>
      <c r="I916" s="39">
        <f t="shared" ref="I916:I949" si="66">(H916*5)/1000</f>
        <v>0</v>
      </c>
      <c r="J916" s="66">
        <f t="shared" ref="J916:J949" si="67">I916/$C$29</f>
        <v>0</v>
      </c>
    </row>
    <row r="917" spans="6:10" x14ac:dyDescent="0.2">
      <c r="F917" s="68" t="s">
        <v>18</v>
      </c>
      <c r="G917" s="63" t="s">
        <v>149</v>
      </c>
      <c r="H917" s="39">
        <v>0</v>
      </c>
      <c r="I917" s="39">
        <f t="shared" si="66"/>
        <v>0</v>
      </c>
      <c r="J917" s="66">
        <f t="shared" si="67"/>
        <v>0</v>
      </c>
    </row>
    <row r="918" spans="6:10" x14ac:dyDescent="0.2">
      <c r="F918" s="68" t="s">
        <v>150</v>
      </c>
      <c r="G918" s="63" t="s">
        <v>151</v>
      </c>
      <c r="H918" s="39">
        <v>0</v>
      </c>
      <c r="I918" s="39">
        <f t="shared" si="66"/>
        <v>0</v>
      </c>
      <c r="J918" s="66">
        <f t="shared" si="67"/>
        <v>0</v>
      </c>
    </row>
    <row r="919" spans="6:10" x14ac:dyDescent="0.2">
      <c r="F919" s="68" t="s">
        <v>152</v>
      </c>
      <c r="G919" s="63" t="s">
        <v>153</v>
      </c>
      <c r="H919" s="39">
        <v>0</v>
      </c>
      <c r="I919" s="39">
        <f t="shared" si="66"/>
        <v>0</v>
      </c>
      <c r="J919" s="66">
        <f t="shared" si="67"/>
        <v>0</v>
      </c>
    </row>
    <row r="920" spans="6:10" x14ac:dyDescent="0.2">
      <c r="F920" s="68" t="s">
        <v>19</v>
      </c>
      <c r="G920" s="63" t="s">
        <v>154</v>
      </c>
      <c r="H920" s="39">
        <v>0</v>
      </c>
      <c r="I920" s="39">
        <f t="shared" si="66"/>
        <v>0</v>
      </c>
      <c r="J920" s="66">
        <f t="shared" si="67"/>
        <v>0</v>
      </c>
    </row>
    <row r="921" spans="6:10" x14ac:dyDescent="0.2">
      <c r="F921" s="47" t="s">
        <v>20</v>
      </c>
      <c r="G921" s="65" t="s">
        <v>155</v>
      </c>
      <c r="H921" s="66">
        <v>0</v>
      </c>
      <c r="I921" s="39">
        <f t="shared" si="66"/>
        <v>0</v>
      </c>
      <c r="J921" s="66">
        <f t="shared" si="67"/>
        <v>0</v>
      </c>
    </row>
    <row r="922" spans="6:10" x14ac:dyDescent="0.2">
      <c r="F922" s="68" t="s">
        <v>21</v>
      </c>
      <c r="G922" s="63" t="s">
        <v>156</v>
      </c>
      <c r="H922" s="39">
        <v>2.92</v>
      </c>
      <c r="I922" s="39">
        <f t="shared" si="66"/>
        <v>1.46E-2</v>
      </c>
      <c r="J922" s="66">
        <f t="shared" si="67"/>
        <v>0.29199999999999887</v>
      </c>
    </row>
    <row r="923" spans="6:10" x14ac:dyDescent="0.2">
      <c r="F923" s="68" t="s">
        <v>29</v>
      </c>
      <c r="G923" s="63" t="s">
        <v>157</v>
      </c>
      <c r="H923" s="39">
        <v>0</v>
      </c>
      <c r="I923" s="39">
        <f t="shared" si="66"/>
        <v>0</v>
      </c>
      <c r="J923" s="66">
        <f t="shared" si="67"/>
        <v>0</v>
      </c>
    </row>
    <row r="924" spans="6:10" x14ac:dyDescent="0.2">
      <c r="F924" s="68" t="s">
        <v>22</v>
      </c>
      <c r="G924" s="63" t="s">
        <v>158</v>
      </c>
      <c r="H924" s="39">
        <v>1.1399999999999999</v>
      </c>
      <c r="I924" s="39">
        <f t="shared" si="66"/>
        <v>5.6999999999999993E-3</v>
      </c>
      <c r="J924" s="66">
        <f t="shared" si="67"/>
        <v>0.11399999999999953</v>
      </c>
    </row>
    <row r="925" spans="6:10" x14ac:dyDescent="0.2">
      <c r="F925" s="68" t="s">
        <v>159</v>
      </c>
      <c r="G925" s="47" t="s">
        <v>160</v>
      </c>
      <c r="H925" s="39">
        <v>0</v>
      </c>
      <c r="I925" s="39">
        <f t="shared" si="66"/>
        <v>0</v>
      </c>
      <c r="J925" s="66">
        <f t="shared" si="67"/>
        <v>0</v>
      </c>
    </row>
    <row r="926" spans="6:10" x14ac:dyDescent="0.2">
      <c r="F926" s="68" t="s">
        <v>23</v>
      </c>
      <c r="G926" s="47" t="s">
        <v>161</v>
      </c>
      <c r="H926" s="39">
        <v>36.93</v>
      </c>
      <c r="I926" s="39">
        <f t="shared" si="66"/>
        <v>0.18465000000000001</v>
      </c>
      <c r="J926" s="66">
        <f t="shared" si="67"/>
        <v>3.6929999999999854</v>
      </c>
    </row>
    <row r="927" spans="6:10" x14ac:dyDescent="0.2">
      <c r="F927" s="68" t="s">
        <v>30</v>
      </c>
      <c r="G927" s="47" t="s">
        <v>162</v>
      </c>
      <c r="H927" s="39">
        <v>5.83</v>
      </c>
      <c r="I927" s="39">
        <f t="shared" si="66"/>
        <v>2.9149999999999999E-2</v>
      </c>
      <c r="J927" s="66">
        <f t="shared" si="67"/>
        <v>0.58299999999999763</v>
      </c>
    </row>
    <row r="928" spans="6:10" x14ac:dyDescent="0.2">
      <c r="F928" s="68" t="s">
        <v>24</v>
      </c>
      <c r="G928" s="47" t="s">
        <v>163</v>
      </c>
      <c r="H928" s="39">
        <v>1.87</v>
      </c>
      <c r="I928" s="39">
        <f t="shared" si="66"/>
        <v>9.3500000000000007E-3</v>
      </c>
      <c r="J928" s="66">
        <f t="shared" si="67"/>
        <v>0.18699999999999928</v>
      </c>
    </row>
    <row r="929" spans="6:10" x14ac:dyDescent="0.2">
      <c r="F929" s="68" t="s">
        <v>31</v>
      </c>
      <c r="G929" s="47" t="s">
        <v>165</v>
      </c>
      <c r="H929" s="39">
        <v>1.23</v>
      </c>
      <c r="I929" s="39">
        <f t="shared" si="66"/>
        <v>6.1500000000000001E-3</v>
      </c>
      <c r="J929" s="66">
        <f t="shared" si="67"/>
        <v>0.12299999999999951</v>
      </c>
    </row>
    <row r="930" spans="6:10" x14ac:dyDescent="0.2">
      <c r="F930" s="68" t="s">
        <v>25</v>
      </c>
      <c r="G930" s="47" t="s">
        <v>167</v>
      </c>
      <c r="H930" s="39">
        <v>15.19</v>
      </c>
      <c r="I930" s="39">
        <f t="shared" si="66"/>
        <v>7.5950000000000004E-2</v>
      </c>
      <c r="J930" s="66">
        <f t="shared" si="67"/>
        <v>1.5189999999999941</v>
      </c>
    </row>
    <row r="931" spans="6:10" x14ac:dyDescent="0.2">
      <c r="F931" s="68" t="s">
        <v>32</v>
      </c>
      <c r="G931" s="47" t="s">
        <v>168</v>
      </c>
      <c r="H931" s="39">
        <v>62.18</v>
      </c>
      <c r="I931" s="39">
        <f t="shared" si="66"/>
        <v>0.31089999999999995</v>
      </c>
      <c r="J931" s="66">
        <f t="shared" si="67"/>
        <v>6.2179999999999742</v>
      </c>
    </row>
    <row r="932" spans="6:10" x14ac:dyDescent="0.2">
      <c r="F932" s="68" t="s">
        <v>37</v>
      </c>
      <c r="G932" s="47" t="s">
        <v>170</v>
      </c>
      <c r="H932" s="39">
        <v>0.66</v>
      </c>
      <c r="I932" s="39">
        <f t="shared" si="66"/>
        <v>3.3000000000000004E-3</v>
      </c>
      <c r="J932" s="66">
        <f t="shared" si="67"/>
        <v>6.5999999999999753E-2</v>
      </c>
    </row>
    <row r="933" spans="6:10" x14ac:dyDescent="0.2">
      <c r="F933" s="68" t="s">
        <v>171</v>
      </c>
      <c r="G933" s="47" t="s">
        <v>172</v>
      </c>
      <c r="H933" s="39">
        <v>0</v>
      </c>
      <c r="I933" s="39">
        <f t="shared" si="66"/>
        <v>0</v>
      </c>
      <c r="J933" s="66">
        <f t="shared" si="67"/>
        <v>0</v>
      </c>
    </row>
    <row r="934" spans="6:10" x14ac:dyDescent="0.2">
      <c r="F934" s="68" t="s">
        <v>42</v>
      </c>
      <c r="G934" s="47" t="s">
        <v>174</v>
      </c>
      <c r="H934" s="39">
        <v>0</v>
      </c>
      <c r="I934" s="39">
        <f t="shared" si="66"/>
        <v>0</v>
      </c>
      <c r="J934" s="66">
        <f t="shared" si="67"/>
        <v>0</v>
      </c>
    </row>
    <row r="935" spans="6:10" x14ac:dyDescent="0.2">
      <c r="F935" s="68" t="s">
        <v>38</v>
      </c>
      <c r="G935" s="37" t="s">
        <v>175</v>
      </c>
      <c r="H935" s="39">
        <v>0</v>
      </c>
      <c r="I935" s="39">
        <f t="shared" si="66"/>
        <v>0</v>
      </c>
      <c r="J935" s="66">
        <f t="shared" si="67"/>
        <v>0</v>
      </c>
    </row>
    <row r="936" spans="6:10" x14ac:dyDescent="0.2">
      <c r="F936" s="68" t="s">
        <v>26</v>
      </c>
      <c r="G936" s="47" t="s">
        <v>177</v>
      </c>
      <c r="H936" s="39">
        <v>0</v>
      </c>
      <c r="I936" s="39">
        <f t="shared" si="66"/>
        <v>0</v>
      </c>
      <c r="J936" s="66">
        <f t="shared" si="67"/>
        <v>0</v>
      </c>
    </row>
    <row r="937" spans="6:10" x14ac:dyDescent="0.2">
      <c r="F937" s="68" t="s">
        <v>33</v>
      </c>
      <c r="G937" s="47" t="s">
        <v>178</v>
      </c>
      <c r="H937" s="39">
        <v>11.37</v>
      </c>
      <c r="I937" s="39">
        <f t="shared" si="66"/>
        <v>5.6849999999999998E-2</v>
      </c>
      <c r="J937" s="66">
        <f t="shared" si="67"/>
        <v>1.1369999999999956</v>
      </c>
    </row>
    <row r="938" spans="6:10" x14ac:dyDescent="0.2">
      <c r="F938" s="68" t="s">
        <v>39</v>
      </c>
      <c r="G938" s="47" t="s">
        <v>180</v>
      </c>
      <c r="H938" s="39">
        <v>0</v>
      </c>
      <c r="I938" s="39">
        <f t="shared" si="66"/>
        <v>0</v>
      </c>
      <c r="J938" s="66">
        <f t="shared" si="67"/>
        <v>0</v>
      </c>
    </row>
    <row r="939" spans="6:10" x14ac:dyDescent="0.2">
      <c r="F939" s="68" t="s">
        <v>40</v>
      </c>
      <c r="G939" s="47" t="s">
        <v>182</v>
      </c>
      <c r="H939" s="39">
        <v>0</v>
      </c>
      <c r="I939" s="39">
        <f t="shared" si="66"/>
        <v>0</v>
      </c>
      <c r="J939" s="66">
        <f t="shared" si="67"/>
        <v>0</v>
      </c>
    </row>
    <row r="940" spans="6:10" x14ac:dyDescent="0.2">
      <c r="F940" s="68" t="s">
        <v>43</v>
      </c>
      <c r="G940" s="47" t="s">
        <v>184</v>
      </c>
      <c r="H940" s="39">
        <v>5.65</v>
      </c>
      <c r="I940" s="39">
        <f t="shared" si="66"/>
        <v>2.8250000000000001E-2</v>
      </c>
      <c r="J940" s="66">
        <f t="shared" si="67"/>
        <v>0.56499999999999784</v>
      </c>
    </row>
    <row r="941" spans="6:10" x14ac:dyDescent="0.2">
      <c r="F941" s="68" t="s">
        <v>186</v>
      </c>
      <c r="G941" s="68" t="s">
        <v>187</v>
      </c>
      <c r="H941" s="66">
        <v>0</v>
      </c>
      <c r="I941" s="39">
        <f t="shared" si="66"/>
        <v>0</v>
      </c>
      <c r="J941" s="66">
        <f t="shared" si="67"/>
        <v>0</v>
      </c>
    </row>
    <row r="942" spans="6:10" x14ac:dyDescent="0.2">
      <c r="F942" s="68" t="s">
        <v>44</v>
      </c>
      <c r="G942" s="47" t="s">
        <v>188</v>
      </c>
      <c r="H942" s="39">
        <v>7.51</v>
      </c>
      <c r="I942" s="39">
        <f t="shared" si="66"/>
        <v>3.755E-2</v>
      </c>
      <c r="J942" s="66">
        <f t="shared" si="67"/>
        <v>0.750999999999997</v>
      </c>
    </row>
    <row r="943" spans="6:10" x14ac:dyDescent="0.2">
      <c r="F943" s="68" t="s">
        <v>164</v>
      </c>
      <c r="G943" s="68" t="s">
        <v>189</v>
      </c>
      <c r="H943" s="66">
        <v>0</v>
      </c>
      <c r="I943" s="39">
        <f t="shared" si="66"/>
        <v>0</v>
      </c>
      <c r="J943" s="66">
        <f t="shared" si="67"/>
        <v>0</v>
      </c>
    </row>
    <row r="944" spans="6:10" x14ac:dyDescent="0.2">
      <c r="F944" s="68" t="s">
        <v>166</v>
      </c>
      <c r="G944" s="47" t="s">
        <v>190</v>
      </c>
      <c r="H944" s="39">
        <v>0</v>
      </c>
      <c r="I944" s="39">
        <f t="shared" si="66"/>
        <v>0</v>
      </c>
      <c r="J944" s="66">
        <f t="shared" si="67"/>
        <v>0</v>
      </c>
    </row>
    <row r="945" spans="6:10" x14ac:dyDescent="0.2">
      <c r="F945" s="68" t="s">
        <v>34</v>
      </c>
      <c r="G945" s="47" t="s">
        <v>191</v>
      </c>
      <c r="H945" s="39">
        <v>0</v>
      </c>
      <c r="I945" s="39">
        <f t="shared" si="66"/>
        <v>0</v>
      </c>
      <c r="J945" s="66">
        <f t="shared" si="67"/>
        <v>0</v>
      </c>
    </row>
    <row r="946" spans="6:10" x14ac:dyDescent="0.2">
      <c r="F946" s="68" t="s">
        <v>27</v>
      </c>
      <c r="G946" s="47" t="s">
        <v>192</v>
      </c>
      <c r="H946" s="39">
        <v>3.74</v>
      </c>
      <c r="I946" s="39">
        <f t="shared" si="66"/>
        <v>1.8700000000000001E-2</v>
      </c>
      <c r="J946" s="66">
        <f t="shared" si="67"/>
        <v>0.37399999999999856</v>
      </c>
    </row>
    <row r="947" spans="6:10" x14ac:dyDescent="0.2">
      <c r="F947" s="68" t="s">
        <v>45</v>
      </c>
      <c r="G947" s="47" t="s">
        <v>193</v>
      </c>
      <c r="H947" s="39">
        <v>59.08</v>
      </c>
      <c r="I947" s="39">
        <f t="shared" si="66"/>
        <v>0.2954</v>
      </c>
      <c r="J947" s="66">
        <f t="shared" si="67"/>
        <v>5.9079999999999764</v>
      </c>
    </row>
    <row r="948" spans="6:10" x14ac:dyDescent="0.2">
      <c r="F948" s="68" t="s">
        <v>169</v>
      </c>
      <c r="G948" s="47" t="s">
        <v>194</v>
      </c>
      <c r="H948" s="39">
        <v>0</v>
      </c>
      <c r="I948" s="39">
        <f t="shared" si="66"/>
        <v>0</v>
      </c>
      <c r="J948" s="66">
        <f t="shared" si="67"/>
        <v>0</v>
      </c>
    </row>
    <row r="949" spans="6:10" x14ac:dyDescent="0.2">
      <c r="F949" s="68" t="s">
        <v>35</v>
      </c>
      <c r="G949" s="47" t="s">
        <v>196</v>
      </c>
      <c r="H949" s="39">
        <v>0</v>
      </c>
      <c r="I949" s="39">
        <f t="shared" si="66"/>
        <v>0</v>
      </c>
      <c r="J949" s="66">
        <f t="shared" si="67"/>
        <v>0</v>
      </c>
    </row>
    <row r="950" spans="6:10" x14ac:dyDescent="0.2">
      <c r="F950" s="40"/>
      <c r="G950" s="40"/>
      <c r="H950" s="39" t="s">
        <v>221</v>
      </c>
      <c r="I950" s="39">
        <f>SUM(I920:I948)</f>
        <v>1.0764999999999998</v>
      </c>
      <c r="J950" s="40"/>
    </row>
    <row r="952" spans="6:10" ht="16" x14ac:dyDescent="0.2">
      <c r="H952" s="36">
        <v>110</v>
      </c>
      <c r="I952" s="40"/>
    </row>
    <row r="953" spans="6:10" x14ac:dyDescent="0.2">
      <c r="F953" s="47" t="s">
        <v>216</v>
      </c>
      <c r="G953" s="47" t="s">
        <v>217</v>
      </c>
      <c r="H953" s="39" t="s">
        <v>218</v>
      </c>
      <c r="I953" s="39" t="s">
        <v>219</v>
      </c>
      <c r="J953" s="39" t="s">
        <v>220</v>
      </c>
    </row>
    <row r="954" spans="6:10" x14ac:dyDescent="0.2">
      <c r="F954" s="47" t="s">
        <v>147</v>
      </c>
      <c r="G954" s="47" t="s">
        <v>148</v>
      </c>
      <c r="H954" s="39">
        <v>0</v>
      </c>
      <c r="I954" s="39">
        <f t="shared" ref="I954:I987" si="68">(H954*5)/1000</f>
        <v>0</v>
      </c>
      <c r="J954" s="39">
        <f t="shared" ref="J954:J987" si="69">I954/$C$30</f>
        <v>0</v>
      </c>
    </row>
    <row r="955" spans="6:10" x14ac:dyDescent="0.2">
      <c r="F955" s="47" t="s">
        <v>18</v>
      </c>
      <c r="G955" s="63" t="s">
        <v>149</v>
      </c>
      <c r="H955" s="39">
        <v>0</v>
      </c>
      <c r="I955" s="39">
        <f t="shared" si="68"/>
        <v>0</v>
      </c>
      <c r="J955" s="39">
        <f t="shared" si="69"/>
        <v>0</v>
      </c>
    </row>
    <row r="956" spans="6:10" x14ac:dyDescent="0.2">
      <c r="F956" s="47" t="s">
        <v>150</v>
      </c>
      <c r="G956" s="63" t="s">
        <v>151</v>
      </c>
      <c r="H956" s="39">
        <v>0</v>
      </c>
      <c r="I956" s="39">
        <f t="shared" si="68"/>
        <v>0</v>
      </c>
      <c r="J956" s="39">
        <f t="shared" si="69"/>
        <v>0</v>
      </c>
    </row>
    <row r="957" spans="6:10" x14ac:dyDescent="0.2">
      <c r="F957" s="47" t="s">
        <v>152</v>
      </c>
      <c r="G957" s="63" t="s">
        <v>153</v>
      </c>
      <c r="H957" s="39">
        <v>0</v>
      </c>
      <c r="I957" s="39">
        <f t="shared" si="68"/>
        <v>0</v>
      </c>
      <c r="J957" s="39">
        <f t="shared" si="69"/>
        <v>0</v>
      </c>
    </row>
    <row r="958" spans="6:10" x14ac:dyDescent="0.2">
      <c r="F958" s="47" t="s">
        <v>19</v>
      </c>
      <c r="G958" s="63" t="s">
        <v>154</v>
      </c>
      <c r="H958" s="39">
        <v>4.4000000000000004</v>
      </c>
      <c r="I958" s="39">
        <f t="shared" si="68"/>
        <v>2.1999999999999999E-2</v>
      </c>
      <c r="J958" s="39">
        <f t="shared" si="69"/>
        <v>0.43999999999999823</v>
      </c>
    </row>
    <row r="959" spans="6:10" x14ac:dyDescent="0.2">
      <c r="F959" s="67" t="s">
        <v>20</v>
      </c>
      <c r="G959" s="65" t="s">
        <v>155</v>
      </c>
      <c r="H959" s="83">
        <v>0</v>
      </c>
      <c r="I959" s="39">
        <f t="shared" si="68"/>
        <v>0</v>
      </c>
      <c r="J959" s="39">
        <f t="shared" si="69"/>
        <v>0</v>
      </c>
    </row>
    <row r="960" spans="6:10" x14ac:dyDescent="0.2">
      <c r="F960" s="47" t="s">
        <v>21</v>
      </c>
      <c r="G960" s="63" t="s">
        <v>156</v>
      </c>
      <c r="H960" s="39">
        <v>0</v>
      </c>
      <c r="I960" s="39">
        <f t="shared" si="68"/>
        <v>0</v>
      </c>
      <c r="J960" s="39">
        <f t="shared" si="69"/>
        <v>0</v>
      </c>
    </row>
    <row r="961" spans="6:10" x14ac:dyDescent="0.2">
      <c r="F961" s="47" t="s">
        <v>29</v>
      </c>
      <c r="G961" s="63" t="s">
        <v>157</v>
      </c>
      <c r="H961" s="39">
        <v>0</v>
      </c>
      <c r="I961" s="39">
        <f t="shared" si="68"/>
        <v>0</v>
      </c>
      <c r="J961" s="39">
        <f t="shared" si="69"/>
        <v>0</v>
      </c>
    </row>
    <row r="962" spans="6:10" x14ac:dyDescent="0.2">
      <c r="F962" s="47" t="s">
        <v>22</v>
      </c>
      <c r="G962" s="63" t="s">
        <v>158</v>
      </c>
      <c r="H962" s="39">
        <v>2.15</v>
      </c>
      <c r="I962" s="39">
        <f t="shared" si="68"/>
        <v>1.0749999999999999E-2</v>
      </c>
      <c r="J962" s="39">
        <f t="shared" si="69"/>
        <v>0.21499999999999914</v>
      </c>
    </row>
    <row r="963" spans="6:10" x14ac:dyDescent="0.2">
      <c r="F963" s="47" t="s">
        <v>159</v>
      </c>
      <c r="G963" s="47" t="s">
        <v>160</v>
      </c>
      <c r="H963" s="39">
        <v>0</v>
      </c>
      <c r="I963" s="39">
        <f t="shared" si="68"/>
        <v>0</v>
      </c>
      <c r="J963" s="39">
        <f t="shared" si="69"/>
        <v>0</v>
      </c>
    </row>
    <row r="964" spans="6:10" x14ac:dyDescent="0.2">
      <c r="F964" s="47" t="s">
        <v>23</v>
      </c>
      <c r="G964" s="47" t="s">
        <v>161</v>
      </c>
      <c r="H964" s="39">
        <v>83.82</v>
      </c>
      <c r="I964" s="39">
        <f t="shared" si="68"/>
        <v>0.41909999999999997</v>
      </c>
      <c r="J964" s="39">
        <f t="shared" si="69"/>
        <v>8.3819999999999659</v>
      </c>
    </row>
    <row r="965" spans="6:10" x14ac:dyDescent="0.2">
      <c r="F965" s="47" t="s">
        <v>30</v>
      </c>
      <c r="G965" s="47" t="s">
        <v>162</v>
      </c>
      <c r="H965" s="39">
        <v>10.94</v>
      </c>
      <c r="I965" s="39">
        <f t="shared" si="68"/>
        <v>5.4699999999999999E-2</v>
      </c>
      <c r="J965" s="39">
        <f t="shared" si="69"/>
        <v>1.0939999999999956</v>
      </c>
    </row>
    <row r="966" spans="6:10" x14ac:dyDescent="0.2">
      <c r="F966" s="47" t="s">
        <v>24</v>
      </c>
      <c r="G966" s="47" t="s">
        <v>163</v>
      </c>
      <c r="H966" s="39">
        <v>3.63</v>
      </c>
      <c r="I966" s="39">
        <f t="shared" si="68"/>
        <v>1.8149999999999999E-2</v>
      </c>
      <c r="J966" s="39">
        <f t="shared" si="69"/>
        <v>0.36299999999999855</v>
      </c>
    </row>
    <row r="967" spans="6:10" x14ac:dyDescent="0.2">
      <c r="F967" s="47" t="s">
        <v>31</v>
      </c>
      <c r="G967" s="47" t="s">
        <v>165</v>
      </c>
      <c r="H967" s="39">
        <v>2.0699999999999998</v>
      </c>
      <c r="I967" s="39">
        <f t="shared" si="68"/>
        <v>1.035E-2</v>
      </c>
      <c r="J967" s="39">
        <f t="shared" si="69"/>
        <v>0.20699999999999918</v>
      </c>
    </row>
    <row r="968" spans="6:10" x14ac:dyDescent="0.2">
      <c r="F968" s="47" t="s">
        <v>25</v>
      </c>
      <c r="G968" s="47" t="s">
        <v>167</v>
      </c>
      <c r="H968" s="39">
        <v>39.69</v>
      </c>
      <c r="I968" s="39">
        <f t="shared" si="68"/>
        <v>0.19844999999999999</v>
      </c>
      <c r="J968" s="39">
        <f t="shared" si="69"/>
        <v>3.9689999999999843</v>
      </c>
    </row>
    <row r="969" spans="6:10" x14ac:dyDescent="0.2">
      <c r="F969" s="47" t="s">
        <v>32</v>
      </c>
      <c r="G969" s="47" t="s">
        <v>168</v>
      </c>
      <c r="H969" s="39">
        <v>101.69</v>
      </c>
      <c r="I969" s="39">
        <f t="shared" si="68"/>
        <v>0.50844999999999996</v>
      </c>
      <c r="J969" s="39">
        <f t="shared" si="69"/>
        <v>10.16899999999996</v>
      </c>
    </row>
    <row r="970" spans="6:10" x14ac:dyDescent="0.2">
      <c r="F970" s="47" t="s">
        <v>37</v>
      </c>
      <c r="G970" s="47" t="s">
        <v>170</v>
      </c>
      <c r="H970" s="39">
        <v>1.24</v>
      </c>
      <c r="I970" s="39">
        <f t="shared" si="68"/>
        <v>6.1999999999999998E-3</v>
      </c>
      <c r="J970" s="39">
        <f t="shared" si="69"/>
        <v>0.12399999999999951</v>
      </c>
    </row>
    <row r="971" spans="6:10" x14ac:dyDescent="0.2">
      <c r="F971" s="47" t="s">
        <v>171</v>
      </c>
      <c r="G971" s="47" t="s">
        <v>172</v>
      </c>
      <c r="H971" s="39">
        <v>0</v>
      </c>
      <c r="I971" s="39">
        <f t="shared" si="68"/>
        <v>0</v>
      </c>
      <c r="J971" s="39">
        <f t="shared" si="69"/>
        <v>0</v>
      </c>
    </row>
    <row r="972" spans="6:10" x14ac:dyDescent="0.2">
      <c r="F972" s="47" t="s">
        <v>42</v>
      </c>
      <c r="G972" s="47" t="s">
        <v>174</v>
      </c>
      <c r="H972" s="39">
        <v>0</v>
      </c>
      <c r="I972" s="39">
        <f t="shared" si="68"/>
        <v>0</v>
      </c>
      <c r="J972" s="39">
        <f t="shared" si="69"/>
        <v>0</v>
      </c>
    </row>
    <row r="973" spans="6:10" x14ac:dyDescent="0.2">
      <c r="F973" s="67" t="s">
        <v>38</v>
      </c>
      <c r="G973" s="37" t="s">
        <v>175</v>
      </c>
      <c r="H973" s="79">
        <v>0</v>
      </c>
      <c r="I973" s="39">
        <f t="shared" si="68"/>
        <v>0</v>
      </c>
      <c r="J973" s="39">
        <f t="shared" si="69"/>
        <v>0</v>
      </c>
    </row>
    <row r="974" spans="6:10" x14ac:dyDescent="0.2">
      <c r="F974" s="47" t="s">
        <v>26</v>
      </c>
      <c r="G974" s="47" t="s">
        <v>177</v>
      </c>
      <c r="H974" s="39">
        <v>0</v>
      </c>
      <c r="I974" s="39">
        <f t="shared" si="68"/>
        <v>0</v>
      </c>
      <c r="J974" s="39">
        <f t="shared" si="69"/>
        <v>0</v>
      </c>
    </row>
    <row r="975" spans="6:10" x14ac:dyDescent="0.2">
      <c r="F975" s="47" t="s">
        <v>33</v>
      </c>
      <c r="G975" s="47" t="s">
        <v>178</v>
      </c>
      <c r="H975" s="39">
        <v>15.98</v>
      </c>
      <c r="I975" s="39">
        <f t="shared" si="68"/>
        <v>7.9899999999999999E-2</v>
      </c>
      <c r="J975" s="39">
        <f t="shared" si="69"/>
        <v>1.5979999999999936</v>
      </c>
    </row>
    <row r="976" spans="6:10" x14ac:dyDescent="0.2">
      <c r="F976" s="47" t="s">
        <v>39</v>
      </c>
      <c r="G976" s="47" t="s">
        <v>180</v>
      </c>
      <c r="H976" s="39">
        <v>0</v>
      </c>
      <c r="I976" s="39">
        <f t="shared" si="68"/>
        <v>0</v>
      </c>
      <c r="J976" s="39">
        <f t="shared" si="69"/>
        <v>0</v>
      </c>
    </row>
    <row r="977" spans="6:10" x14ac:dyDescent="0.2">
      <c r="F977" s="47" t="s">
        <v>40</v>
      </c>
      <c r="G977" s="47" t="s">
        <v>182</v>
      </c>
      <c r="H977" s="39">
        <v>0</v>
      </c>
      <c r="I977" s="39">
        <f t="shared" si="68"/>
        <v>0</v>
      </c>
      <c r="J977" s="39">
        <f t="shared" si="69"/>
        <v>0</v>
      </c>
    </row>
    <row r="978" spans="6:10" x14ac:dyDescent="0.2">
      <c r="F978" s="47" t="s">
        <v>43</v>
      </c>
      <c r="G978" s="47" t="s">
        <v>184</v>
      </c>
      <c r="H978" s="39">
        <v>12.4</v>
      </c>
      <c r="I978" s="39">
        <f t="shared" si="68"/>
        <v>6.2E-2</v>
      </c>
      <c r="J978" s="39">
        <f t="shared" si="69"/>
        <v>1.2399999999999951</v>
      </c>
    </row>
    <row r="979" spans="6:10" x14ac:dyDescent="0.2">
      <c r="F979" s="68" t="s">
        <v>186</v>
      </c>
      <c r="G979" s="68" t="s">
        <v>187</v>
      </c>
      <c r="H979" s="83">
        <v>0</v>
      </c>
      <c r="I979" s="39">
        <f t="shared" si="68"/>
        <v>0</v>
      </c>
      <c r="J979" s="39">
        <f t="shared" si="69"/>
        <v>0</v>
      </c>
    </row>
    <row r="980" spans="6:10" x14ac:dyDescent="0.2">
      <c r="F980" s="47" t="s">
        <v>44</v>
      </c>
      <c r="G980" s="47" t="s">
        <v>188</v>
      </c>
      <c r="H980" s="39">
        <v>0</v>
      </c>
      <c r="I980" s="39">
        <f t="shared" si="68"/>
        <v>0</v>
      </c>
      <c r="J980" s="39">
        <f t="shared" si="69"/>
        <v>0</v>
      </c>
    </row>
    <row r="981" spans="6:10" x14ac:dyDescent="0.2">
      <c r="F981" s="68" t="s">
        <v>164</v>
      </c>
      <c r="G981" s="68" t="s">
        <v>189</v>
      </c>
      <c r="H981" s="83">
        <v>0</v>
      </c>
      <c r="I981" s="39">
        <f t="shared" si="68"/>
        <v>0</v>
      </c>
      <c r="J981" s="39">
        <f t="shared" si="69"/>
        <v>0</v>
      </c>
    </row>
    <row r="982" spans="6:10" x14ac:dyDescent="0.2">
      <c r="F982" s="47" t="s">
        <v>166</v>
      </c>
      <c r="G982" s="47" t="s">
        <v>190</v>
      </c>
      <c r="H982" s="39">
        <v>0</v>
      </c>
      <c r="I982" s="39">
        <f t="shared" si="68"/>
        <v>0</v>
      </c>
      <c r="J982" s="39">
        <f t="shared" si="69"/>
        <v>0</v>
      </c>
    </row>
    <row r="983" spans="6:10" x14ac:dyDescent="0.2">
      <c r="F983" s="47" t="s">
        <v>34</v>
      </c>
      <c r="G983" s="47" t="s">
        <v>191</v>
      </c>
      <c r="H983" s="39">
        <v>2.3199999999999998</v>
      </c>
      <c r="I983" s="39">
        <f t="shared" si="68"/>
        <v>1.1599999999999999E-2</v>
      </c>
      <c r="J983" s="39">
        <f t="shared" si="69"/>
        <v>0.23199999999999907</v>
      </c>
    </row>
    <row r="984" spans="6:10" x14ac:dyDescent="0.2">
      <c r="F984" s="47" t="s">
        <v>27</v>
      </c>
      <c r="G984" s="47" t="s">
        <v>192</v>
      </c>
      <c r="H984" s="39">
        <v>6.23</v>
      </c>
      <c r="I984" s="39">
        <f t="shared" si="68"/>
        <v>3.1150000000000001E-2</v>
      </c>
      <c r="J984" s="39">
        <f t="shared" si="69"/>
        <v>0.62299999999999756</v>
      </c>
    </row>
    <row r="985" spans="6:10" x14ac:dyDescent="0.2">
      <c r="F985" s="47" t="s">
        <v>45</v>
      </c>
      <c r="G985" s="47" t="s">
        <v>193</v>
      </c>
      <c r="H985" s="39">
        <v>76.95</v>
      </c>
      <c r="I985" s="39">
        <f t="shared" si="68"/>
        <v>0.38474999999999998</v>
      </c>
      <c r="J985" s="39">
        <f t="shared" si="69"/>
        <v>7.6949999999999692</v>
      </c>
    </row>
    <row r="986" spans="6:10" x14ac:dyDescent="0.2">
      <c r="F986" s="47" t="s">
        <v>169</v>
      </c>
      <c r="G986" s="47" t="s">
        <v>194</v>
      </c>
      <c r="H986" s="39">
        <v>1.44</v>
      </c>
      <c r="I986" s="39">
        <f t="shared" si="68"/>
        <v>7.1999999999999989E-3</v>
      </c>
      <c r="J986" s="39">
        <f t="shared" si="69"/>
        <v>0.14399999999999941</v>
      </c>
    </row>
    <row r="987" spans="6:10" x14ac:dyDescent="0.2">
      <c r="F987" s="47" t="s">
        <v>35</v>
      </c>
      <c r="G987" s="47" t="s">
        <v>196</v>
      </c>
      <c r="H987" s="79">
        <v>0</v>
      </c>
      <c r="I987" s="39">
        <f t="shared" si="68"/>
        <v>0</v>
      </c>
      <c r="J987" s="39">
        <f t="shared" si="69"/>
        <v>0</v>
      </c>
    </row>
    <row r="988" spans="6:10" x14ac:dyDescent="0.2">
      <c r="H988" s="39" t="s">
        <v>221</v>
      </c>
      <c r="I988" s="39">
        <f>SUM(I958:I986)</f>
        <v>1.8247500000000001</v>
      </c>
    </row>
    <row r="990" spans="6:10" ht="16" x14ac:dyDescent="0.2">
      <c r="F990" s="89"/>
      <c r="G990" s="89"/>
      <c r="H990" s="41">
        <v>680</v>
      </c>
      <c r="I990" s="89"/>
      <c r="J990" s="89"/>
    </row>
    <row r="991" spans="6:10" x14ac:dyDescent="0.2">
      <c r="F991" s="47" t="s">
        <v>216</v>
      </c>
      <c r="G991" s="47" t="s">
        <v>217</v>
      </c>
      <c r="H991" s="39" t="s">
        <v>218</v>
      </c>
      <c r="I991" s="39" t="s">
        <v>219</v>
      </c>
      <c r="J991" s="39" t="s">
        <v>220</v>
      </c>
    </row>
    <row r="992" spans="6:10" x14ac:dyDescent="0.2">
      <c r="F992" s="47" t="s">
        <v>147</v>
      </c>
      <c r="G992" s="47" t="s">
        <v>148</v>
      </c>
      <c r="H992" s="39">
        <v>0</v>
      </c>
      <c r="I992" s="39">
        <f t="shared" ref="I992:I1025" si="70">(H992*5)/1000</f>
        <v>0</v>
      </c>
      <c r="J992" s="39">
        <f t="shared" ref="J992:J1025" si="71">I992/$C$31</f>
        <v>0</v>
      </c>
    </row>
    <row r="993" spans="6:10" x14ac:dyDescent="0.2">
      <c r="F993" s="47" t="s">
        <v>18</v>
      </c>
      <c r="G993" s="63" t="s">
        <v>149</v>
      </c>
      <c r="H993" s="39">
        <v>0</v>
      </c>
      <c r="I993" s="39">
        <f t="shared" si="70"/>
        <v>0</v>
      </c>
      <c r="J993" s="39">
        <f t="shared" si="71"/>
        <v>0</v>
      </c>
    </row>
    <row r="994" spans="6:10" x14ac:dyDescent="0.2">
      <c r="F994" s="47" t="s">
        <v>150</v>
      </c>
      <c r="G994" s="63" t="s">
        <v>151</v>
      </c>
      <c r="H994" s="39">
        <v>0</v>
      </c>
      <c r="I994" s="39">
        <f t="shared" si="70"/>
        <v>0</v>
      </c>
      <c r="J994" s="39">
        <f t="shared" si="71"/>
        <v>0</v>
      </c>
    </row>
    <row r="995" spans="6:10" x14ac:dyDescent="0.2">
      <c r="F995" s="47" t="s">
        <v>152</v>
      </c>
      <c r="G995" s="63" t="s">
        <v>153</v>
      </c>
      <c r="H995" s="39">
        <v>0</v>
      </c>
      <c r="I995" s="39">
        <f t="shared" si="70"/>
        <v>0</v>
      </c>
      <c r="J995" s="39">
        <f t="shared" si="71"/>
        <v>0</v>
      </c>
    </row>
    <row r="996" spans="6:10" x14ac:dyDescent="0.2">
      <c r="F996" s="47" t="s">
        <v>19</v>
      </c>
      <c r="G996" s="63" t="s">
        <v>154</v>
      </c>
      <c r="H996" s="39">
        <v>0</v>
      </c>
      <c r="I996" s="39">
        <f t="shared" si="70"/>
        <v>0</v>
      </c>
      <c r="J996" s="39">
        <f t="shared" si="71"/>
        <v>0</v>
      </c>
    </row>
    <row r="997" spans="6:10" x14ac:dyDescent="0.2">
      <c r="F997" s="67" t="s">
        <v>20</v>
      </c>
      <c r="G997" s="65" t="s">
        <v>155</v>
      </c>
      <c r="H997" s="39">
        <v>0</v>
      </c>
      <c r="I997" s="39">
        <f t="shared" si="70"/>
        <v>0</v>
      </c>
      <c r="J997" s="39">
        <f t="shared" si="71"/>
        <v>0</v>
      </c>
    </row>
    <row r="998" spans="6:10" x14ac:dyDescent="0.2">
      <c r="F998" s="47" t="s">
        <v>21</v>
      </c>
      <c r="G998" s="63" t="s">
        <v>156</v>
      </c>
      <c r="H998" s="39">
        <v>0</v>
      </c>
      <c r="I998" s="39">
        <f t="shared" si="70"/>
        <v>0</v>
      </c>
      <c r="J998" s="39">
        <f t="shared" si="71"/>
        <v>0</v>
      </c>
    </row>
    <row r="999" spans="6:10" x14ac:dyDescent="0.2">
      <c r="F999" s="47" t="s">
        <v>29</v>
      </c>
      <c r="G999" s="63" t="s">
        <v>157</v>
      </c>
      <c r="H999" s="39">
        <v>0</v>
      </c>
      <c r="I999" s="39">
        <f t="shared" si="70"/>
        <v>0</v>
      </c>
      <c r="J999" s="39">
        <f t="shared" si="71"/>
        <v>0</v>
      </c>
    </row>
    <row r="1000" spans="6:10" x14ac:dyDescent="0.2">
      <c r="F1000" s="47" t="s">
        <v>22</v>
      </c>
      <c r="G1000" s="63" t="s">
        <v>158</v>
      </c>
      <c r="H1000" s="39">
        <v>0</v>
      </c>
      <c r="I1000" s="39">
        <f t="shared" si="70"/>
        <v>0</v>
      </c>
      <c r="J1000" s="39">
        <f t="shared" si="71"/>
        <v>0</v>
      </c>
    </row>
    <row r="1001" spans="6:10" x14ac:dyDescent="0.2">
      <c r="F1001" s="47" t="s">
        <v>159</v>
      </c>
      <c r="G1001" s="47" t="s">
        <v>160</v>
      </c>
      <c r="H1001" s="39">
        <v>0</v>
      </c>
      <c r="I1001" s="39">
        <f t="shared" si="70"/>
        <v>0</v>
      </c>
      <c r="J1001" s="39">
        <f t="shared" si="71"/>
        <v>0</v>
      </c>
    </row>
    <row r="1002" spans="6:10" x14ac:dyDescent="0.2">
      <c r="F1002" s="47" t="s">
        <v>23</v>
      </c>
      <c r="G1002" s="47" t="s">
        <v>161</v>
      </c>
      <c r="H1002" s="39">
        <v>7.12</v>
      </c>
      <c r="I1002" s="39">
        <f t="shared" si="70"/>
        <v>3.56E-2</v>
      </c>
      <c r="J1002" s="39">
        <f t="shared" si="71"/>
        <v>0.71199999999999719</v>
      </c>
    </row>
    <row r="1003" spans="6:10" x14ac:dyDescent="0.2">
      <c r="F1003" s="47" t="s">
        <v>30</v>
      </c>
      <c r="G1003" s="47" t="s">
        <v>162</v>
      </c>
      <c r="H1003" s="39">
        <v>1.24</v>
      </c>
      <c r="I1003" s="39">
        <f t="shared" si="70"/>
        <v>6.1999999999999998E-3</v>
      </c>
      <c r="J1003" s="39">
        <f t="shared" si="71"/>
        <v>0.12399999999999951</v>
      </c>
    </row>
    <row r="1004" spans="6:10" x14ac:dyDescent="0.2">
      <c r="F1004" s="47" t="s">
        <v>24</v>
      </c>
      <c r="G1004" s="47" t="s">
        <v>163</v>
      </c>
      <c r="H1004" s="39">
        <v>0</v>
      </c>
      <c r="I1004" s="39">
        <f t="shared" si="70"/>
        <v>0</v>
      </c>
      <c r="J1004" s="39">
        <f t="shared" si="71"/>
        <v>0</v>
      </c>
    </row>
    <row r="1005" spans="6:10" x14ac:dyDescent="0.2">
      <c r="F1005" s="47" t="s">
        <v>31</v>
      </c>
      <c r="G1005" s="47" t="s">
        <v>165</v>
      </c>
      <c r="H1005" s="39">
        <v>0</v>
      </c>
      <c r="I1005" s="39">
        <f t="shared" si="70"/>
        <v>0</v>
      </c>
      <c r="J1005" s="39">
        <f t="shared" si="71"/>
        <v>0</v>
      </c>
    </row>
    <row r="1006" spans="6:10" x14ac:dyDescent="0.2">
      <c r="F1006" s="47" t="s">
        <v>25</v>
      </c>
      <c r="G1006" s="47" t="s">
        <v>167</v>
      </c>
      <c r="H1006" s="39">
        <v>4.0199999999999996</v>
      </c>
      <c r="I1006" s="39">
        <f t="shared" si="70"/>
        <v>2.0099999999999996E-2</v>
      </c>
      <c r="J1006" s="39">
        <f t="shared" si="71"/>
        <v>0.40199999999999836</v>
      </c>
    </row>
    <row r="1007" spans="6:10" x14ac:dyDescent="0.2">
      <c r="F1007" s="47" t="s">
        <v>32</v>
      </c>
      <c r="G1007" s="47" t="s">
        <v>168</v>
      </c>
      <c r="H1007" s="39">
        <v>10.53</v>
      </c>
      <c r="I1007" s="39">
        <f t="shared" si="70"/>
        <v>5.2649999999999995E-2</v>
      </c>
      <c r="J1007" s="39">
        <f t="shared" si="71"/>
        <v>1.0529999999999957</v>
      </c>
    </row>
    <row r="1008" spans="6:10" x14ac:dyDescent="0.2">
      <c r="F1008" s="47" t="s">
        <v>37</v>
      </c>
      <c r="G1008" s="47" t="s">
        <v>170</v>
      </c>
      <c r="H1008" s="39">
        <v>0</v>
      </c>
      <c r="I1008" s="39">
        <f t="shared" si="70"/>
        <v>0</v>
      </c>
      <c r="J1008" s="39">
        <f t="shared" si="71"/>
        <v>0</v>
      </c>
    </row>
    <row r="1009" spans="6:10" x14ac:dyDescent="0.2">
      <c r="F1009" s="47" t="s">
        <v>171</v>
      </c>
      <c r="G1009" s="47" t="s">
        <v>172</v>
      </c>
      <c r="H1009" s="39">
        <v>0</v>
      </c>
      <c r="I1009" s="39">
        <f t="shared" si="70"/>
        <v>0</v>
      </c>
      <c r="J1009" s="39">
        <f t="shared" si="71"/>
        <v>0</v>
      </c>
    </row>
    <row r="1010" spans="6:10" x14ac:dyDescent="0.2">
      <c r="F1010" s="47" t="s">
        <v>42</v>
      </c>
      <c r="G1010" s="47" t="s">
        <v>174</v>
      </c>
      <c r="H1010" s="39">
        <v>0</v>
      </c>
      <c r="I1010" s="39">
        <f t="shared" si="70"/>
        <v>0</v>
      </c>
      <c r="J1010" s="39">
        <f t="shared" si="71"/>
        <v>0</v>
      </c>
    </row>
    <row r="1011" spans="6:10" x14ac:dyDescent="0.2">
      <c r="F1011" s="67" t="s">
        <v>38</v>
      </c>
      <c r="G1011" s="37" t="s">
        <v>175</v>
      </c>
      <c r="H1011" s="39">
        <v>0</v>
      </c>
      <c r="I1011" s="39">
        <f t="shared" si="70"/>
        <v>0</v>
      </c>
      <c r="J1011" s="39">
        <f t="shared" si="71"/>
        <v>0</v>
      </c>
    </row>
    <row r="1012" spans="6:10" x14ac:dyDescent="0.2">
      <c r="F1012" s="47" t="s">
        <v>26</v>
      </c>
      <c r="G1012" s="47" t="s">
        <v>177</v>
      </c>
      <c r="H1012" s="39">
        <v>0</v>
      </c>
      <c r="I1012" s="39">
        <f t="shared" si="70"/>
        <v>0</v>
      </c>
      <c r="J1012" s="39">
        <f t="shared" si="71"/>
        <v>0</v>
      </c>
    </row>
    <row r="1013" spans="6:10" x14ac:dyDescent="0.2">
      <c r="F1013" s="47" t="s">
        <v>33</v>
      </c>
      <c r="G1013" s="47" t="s">
        <v>178</v>
      </c>
      <c r="H1013" s="39">
        <v>1.23</v>
      </c>
      <c r="I1013" s="39">
        <f t="shared" si="70"/>
        <v>6.1500000000000001E-3</v>
      </c>
      <c r="J1013" s="39">
        <f t="shared" si="71"/>
        <v>0.12299999999999951</v>
      </c>
    </row>
    <row r="1014" spans="6:10" x14ac:dyDescent="0.2">
      <c r="F1014" s="47" t="s">
        <v>39</v>
      </c>
      <c r="G1014" s="47" t="s">
        <v>180</v>
      </c>
      <c r="H1014" s="39">
        <v>0</v>
      </c>
      <c r="I1014" s="39">
        <f t="shared" si="70"/>
        <v>0</v>
      </c>
      <c r="J1014" s="39">
        <f t="shared" si="71"/>
        <v>0</v>
      </c>
    </row>
    <row r="1015" spans="6:10" x14ac:dyDescent="0.2">
      <c r="F1015" s="47" t="s">
        <v>40</v>
      </c>
      <c r="G1015" s="47" t="s">
        <v>182</v>
      </c>
      <c r="H1015" s="39">
        <v>0</v>
      </c>
      <c r="I1015" s="39">
        <f t="shared" si="70"/>
        <v>0</v>
      </c>
      <c r="J1015" s="39">
        <f t="shared" si="71"/>
        <v>0</v>
      </c>
    </row>
    <row r="1016" spans="6:10" x14ac:dyDescent="0.2">
      <c r="F1016" s="67" t="s">
        <v>43</v>
      </c>
      <c r="G1016" s="47" t="s">
        <v>184</v>
      </c>
      <c r="H1016" s="39">
        <v>1.65</v>
      </c>
      <c r="I1016" s="39">
        <f t="shared" si="70"/>
        <v>8.2500000000000004E-3</v>
      </c>
      <c r="J1016" s="39">
        <f t="shared" si="71"/>
        <v>0.16499999999999937</v>
      </c>
    </row>
    <row r="1017" spans="6:10" x14ac:dyDescent="0.2">
      <c r="F1017" s="68" t="s">
        <v>186</v>
      </c>
      <c r="G1017" s="68" t="s">
        <v>187</v>
      </c>
      <c r="H1017" s="66">
        <v>0</v>
      </c>
      <c r="I1017" s="39">
        <f t="shared" si="70"/>
        <v>0</v>
      </c>
      <c r="J1017" s="39">
        <f t="shared" si="71"/>
        <v>0</v>
      </c>
    </row>
    <row r="1018" spans="6:10" x14ac:dyDescent="0.2">
      <c r="F1018" s="47" t="s">
        <v>44</v>
      </c>
      <c r="G1018" s="47" t="s">
        <v>188</v>
      </c>
      <c r="H1018" s="39">
        <v>2.04</v>
      </c>
      <c r="I1018" s="39">
        <f t="shared" si="70"/>
        <v>1.0199999999999999E-2</v>
      </c>
      <c r="J1018" s="39">
        <f t="shared" si="71"/>
        <v>0.20399999999999918</v>
      </c>
    </row>
    <row r="1019" spans="6:10" x14ac:dyDescent="0.2">
      <c r="F1019" s="68" t="s">
        <v>164</v>
      </c>
      <c r="G1019" s="68" t="s">
        <v>189</v>
      </c>
      <c r="H1019" s="66">
        <v>0</v>
      </c>
      <c r="I1019" s="39">
        <f t="shared" si="70"/>
        <v>0</v>
      </c>
      <c r="J1019" s="39">
        <f t="shared" si="71"/>
        <v>0</v>
      </c>
    </row>
    <row r="1020" spans="6:10" x14ac:dyDescent="0.2">
      <c r="F1020" s="47" t="s">
        <v>166</v>
      </c>
      <c r="G1020" s="47" t="s">
        <v>190</v>
      </c>
      <c r="H1020" s="39">
        <v>0</v>
      </c>
      <c r="I1020" s="39">
        <f t="shared" si="70"/>
        <v>0</v>
      </c>
      <c r="J1020" s="39">
        <f t="shared" si="71"/>
        <v>0</v>
      </c>
    </row>
    <row r="1021" spans="6:10" x14ac:dyDescent="0.2">
      <c r="F1021" s="47" t="s">
        <v>34</v>
      </c>
      <c r="G1021" s="47" t="s">
        <v>191</v>
      </c>
      <c r="H1021" s="39">
        <v>0</v>
      </c>
      <c r="I1021" s="39">
        <f t="shared" si="70"/>
        <v>0</v>
      </c>
      <c r="J1021" s="39">
        <f t="shared" si="71"/>
        <v>0</v>
      </c>
    </row>
    <row r="1022" spans="6:10" x14ac:dyDescent="0.2">
      <c r="F1022" s="47" t="s">
        <v>27</v>
      </c>
      <c r="G1022" s="47" t="s">
        <v>192</v>
      </c>
      <c r="H1022" s="39">
        <v>3.75</v>
      </c>
      <c r="I1022" s="39">
        <f t="shared" si="70"/>
        <v>1.8749999999999999E-2</v>
      </c>
      <c r="J1022" s="39">
        <f t="shared" si="71"/>
        <v>0.3749999999999985</v>
      </c>
    </row>
    <row r="1023" spans="6:10" x14ac:dyDescent="0.2">
      <c r="F1023" s="47" t="s">
        <v>45</v>
      </c>
      <c r="G1023" s="47" t="s">
        <v>193</v>
      </c>
      <c r="H1023" s="39">
        <v>36.520000000000003</v>
      </c>
      <c r="I1023" s="39">
        <f t="shared" si="70"/>
        <v>0.18260000000000001</v>
      </c>
      <c r="J1023" s="39">
        <f t="shared" si="71"/>
        <v>3.6519999999999859</v>
      </c>
    </row>
    <row r="1024" spans="6:10" x14ac:dyDescent="0.2">
      <c r="F1024" s="47" t="s">
        <v>169</v>
      </c>
      <c r="G1024" s="47" t="s">
        <v>194</v>
      </c>
      <c r="H1024" s="39">
        <v>0</v>
      </c>
      <c r="I1024" s="39">
        <f t="shared" si="70"/>
        <v>0</v>
      </c>
      <c r="J1024" s="39">
        <f t="shared" si="71"/>
        <v>0</v>
      </c>
    </row>
    <row r="1025" spans="6:10" x14ac:dyDescent="0.2">
      <c r="F1025" s="90" t="s">
        <v>35</v>
      </c>
      <c r="G1025" s="47" t="s">
        <v>196</v>
      </c>
      <c r="H1025" s="39">
        <v>0</v>
      </c>
      <c r="I1025" s="91">
        <f t="shared" si="70"/>
        <v>0</v>
      </c>
      <c r="J1025" s="39">
        <f t="shared" si="71"/>
        <v>0</v>
      </c>
    </row>
    <row r="1026" spans="6:10" x14ac:dyDescent="0.2">
      <c r="F1026" s="81"/>
      <c r="G1026" s="81"/>
      <c r="H1026" s="39" t="s">
        <v>221</v>
      </c>
      <c r="I1026" s="39">
        <f>SUM(I992:I1025)</f>
        <v>0.34049999999999997</v>
      </c>
      <c r="J1026" s="81"/>
    </row>
    <row r="1028" spans="6:10" ht="16" x14ac:dyDescent="0.2">
      <c r="F1028" s="89"/>
      <c r="G1028" s="89"/>
      <c r="H1028" s="41">
        <v>853</v>
      </c>
      <c r="I1028" s="89"/>
      <c r="J1028" s="89"/>
    </row>
    <row r="1029" spans="6:10" x14ac:dyDescent="0.2">
      <c r="F1029" s="47" t="s">
        <v>216</v>
      </c>
      <c r="G1029" s="47" t="s">
        <v>217</v>
      </c>
      <c r="H1029" s="39" t="s">
        <v>218</v>
      </c>
      <c r="I1029" s="39" t="s">
        <v>219</v>
      </c>
      <c r="J1029" s="39" t="s">
        <v>220</v>
      </c>
    </row>
    <row r="1030" spans="6:10" x14ac:dyDescent="0.2">
      <c r="F1030" s="47" t="s">
        <v>147</v>
      </c>
      <c r="G1030" s="47" t="s">
        <v>148</v>
      </c>
      <c r="H1030" s="39">
        <v>0</v>
      </c>
      <c r="I1030" s="39">
        <f t="shared" ref="I1030:I1063" si="72">(H1030*5)/1000</f>
        <v>0</v>
      </c>
      <c r="J1030" s="39">
        <f t="shared" ref="J1030:J1063" si="73">I1030/$C$32</f>
        <v>0</v>
      </c>
    </row>
    <row r="1031" spans="6:10" x14ac:dyDescent="0.2">
      <c r="F1031" s="47" t="s">
        <v>18</v>
      </c>
      <c r="G1031" s="63" t="s">
        <v>149</v>
      </c>
      <c r="H1031" s="39">
        <v>0</v>
      </c>
      <c r="I1031" s="39">
        <f t="shared" si="72"/>
        <v>0</v>
      </c>
      <c r="J1031" s="39">
        <f t="shared" si="73"/>
        <v>0</v>
      </c>
    </row>
    <row r="1032" spans="6:10" x14ac:dyDescent="0.2">
      <c r="F1032" s="47" t="s">
        <v>150</v>
      </c>
      <c r="G1032" s="63" t="s">
        <v>151</v>
      </c>
      <c r="H1032" s="39">
        <v>0</v>
      </c>
      <c r="I1032" s="39">
        <f t="shared" si="72"/>
        <v>0</v>
      </c>
      <c r="J1032" s="39">
        <f t="shared" si="73"/>
        <v>0</v>
      </c>
    </row>
    <row r="1033" spans="6:10" x14ac:dyDescent="0.2">
      <c r="F1033" s="47" t="s">
        <v>152</v>
      </c>
      <c r="G1033" s="63" t="s">
        <v>153</v>
      </c>
      <c r="H1033" s="39">
        <v>0</v>
      </c>
      <c r="I1033" s="39">
        <f t="shared" si="72"/>
        <v>0</v>
      </c>
      <c r="J1033" s="39">
        <f t="shared" si="73"/>
        <v>0</v>
      </c>
    </row>
    <row r="1034" spans="6:10" x14ac:dyDescent="0.2">
      <c r="F1034" s="47" t="s">
        <v>19</v>
      </c>
      <c r="G1034" s="63" t="s">
        <v>154</v>
      </c>
      <c r="H1034" s="39">
        <v>0</v>
      </c>
      <c r="I1034" s="39">
        <f t="shared" si="72"/>
        <v>0</v>
      </c>
      <c r="J1034" s="39">
        <f t="shared" si="73"/>
        <v>0</v>
      </c>
    </row>
    <row r="1035" spans="6:10" x14ac:dyDescent="0.2">
      <c r="F1035" s="67" t="s">
        <v>20</v>
      </c>
      <c r="G1035" s="65" t="s">
        <v>155</v>
      </c>
      <c r="H1035" s="39">
        <v>0</v>
      </c>
      <c r="I1035" s="39">
        <f t="shared" si="72"/>
        <v>0</v>
      </c>
      <c r="J1035" s="39">
        <f t="shared" si="73"/>
        <v>0</v>
      </c>
    </row>
    <row r="1036" spans="6:10" x14ac:dyDescent="0.2">
      <c r="F1036" s="47" t="s">
        <v>21</v>
      </c>
      <c r="G1036" s="63" t="s">
        <v>156</v>
      </c>
      <c r="H1036" s="39">
        <v>0</v>
      </c>
      <c r="I1036" s="39">
        <f t="shared" si="72"/>
        <v>0</v>
      </c>
      <c r="J1036" s="39">
        <f t="shared" si="73"/>
        <v>0</v>
      </c>
    </row>
    <row r="1037" spans="6:10" x14ac:dyDescent="0.2">
      <c r="F1037" s="47" t="s">
        <v>29</v>
      </c>
      <c r="G1037" s="63" t="s">
        <v>157</v>
      </c>
      <c r="H1037" s="39">
        <v>0</v>
      </c>
      <c r="I1037" s="39">
        <f t="shared" si="72"/>
        <v>0</v>
      </c>
      <c r="J1037" s="39">
        <f t="shared" si="73"/>
        <v>0</v>
      </c>
    </row>
    <row r="1038" spans="6:10" x14ac:dyDescent="0.2">
      <c r="F1038" s="47" t="s">
        <v>22</v>
      </c>
      <c r="G1038" s="63" t="s">
        <v>158</v>
      </c>
      <c r="H1038" s="39">
        <v>0</v>
      </c>
      <c r="I1038" s="39">
        <f t="shared" si="72"/>
        <v>0</v>
      </c>
      <c r="J1038" s="39">
        <f t="shared" si="73"/>
        <v>0</v>
      </c>
    </row>
    <row r="1039" spans="6:10" x14ac:dyDescent="0.2">
      <c r="F1039" s="47" t="s">
        <v>159</v>
      </c>
      <c r="G1039" s="47" t="s">
        <v>160</v>
      </c>
      <c r="H1039" s="39">
        <v>0</v>
      </c>
      <c r="I1039" s="39">
        <f t="shared" si="72"/>
        <v>0</v>
      </c>
      <c r="J1039" s="39">
        <f t="shared" si="73"/>
        <v>0</v>
      </c>
    </row>
    <row r="1040" spans="6:10" x14ac:dyDescent="0.2">
      <c r="F1040" s="47" t="s">
        <v>23</v>
      </c>
      <c r="G1040" s="47" t="s">
        <v>161</v>
      </c>
      <c r="H1040" s="39">
        <v>3.49</v>
      </c>
      <c r="I1040" s="39">
        <f t="shared" si="72"/>
        <v>1.7450000000000004E-2</v>
      </c>
      <c r="J1040" s="39">
        <f t="shared" si="73"/>
        <v>0.3489999999999987</v>
      </c>
    </row>
    <row r="1041" spans="6:10" x14ac:dyDescent="0.2">
      <c r="F1041" s="47" t="s">
        <v>30</v>
      </c>
      <c r="G1041" s="47" t="s">
        <v>162</v>
      </c>
      <c r="H1041" s="39">
        <v>1.24</v>
      </c>
      <c r="I1041" s="39">
        <f t="shared" si="72"/>
        <v>6.1999999999999998E-3</v>
      </c>
      <c r="J1041" s="39">
        <f t="shared" si="73"/>
        <v>0.12399999999999951</v>
      </c>
    </row>
    <row r="1042" spans="6:10" x14ac:dyDescent="0.2">
      <c r="F1042" s="47" t="s">
        <v>24</v>
      </c>
      <c r="G1042" s="47" t="s">
        <v>163</v>
      </c>
      <c r="H1042" s="39">
        <v>0</v>
      </c>
      <c r="I1042" s="39">
        <f t="shared" si="72"/>
        <v>0</v>
      </c>
      <c r="J1042" s="39">
        <f t="shared" si="73"/>
        <v>0</v>
      </c>
    </row>
    <row r="1043" spans="6:10" x14ac:dyDescent="0.2">
      <c r="F1043" s="47" t="s">
        <v>31</v>
      </c>
      <c r="G1043" s="47" t="s">
        <v>165</v>
      </c>
      <c r="H1043" s="39">
        <v>0</v>
      </c>
      <c r="I1043" s="39">
        <f t="shared" si="72"/>
        <v>0</v>
      </c>
      <c r="J1043" s="39">
        <f t="shared" si="73"/>
        <v>0</v>
      </c>
    </row>
    <row r="1044" spans="6:10" x14ac:dyDescent="0.2">
      <c r="F1044" s="47" t="s">
        <v>25</v>
      </c>
      <c r="G1044" s="47" t="s">
        <v>167</v>
      </c>
      <c r="H1044" s="39">
        <v>2.08</v>
      </c>
      <c r="I1044" s="39">
        <f t="shared" si="72"/>
        <v>1.04E-2</v>
      </c>
      <c r="J1044" s="39">
        <f t="shared" si="73"/>
        <v>0.20799999999999916</v>
      </c>
    </row>
    <row r="1045" spans="6:10" x14ac:dyDescent="0.2">
      <c r="F1045" s="47" t="s">
        <v>32</v>
      </c>
      <c r="G1045" s="47" t="s">
        <v>168</v>
      </c>
      <c r="H1045" s="39">
        <v>2.66</v>
      </c>
      <c r="I1045" s="39">
        <f t="shared" si="72"/>
        <v>1.3300000000000001E-2</v>
      </c>
      <c r="J1045" s="39">
        <f t="shared" si="73"/>
        <v>0.26599999999999896</v>
      </c>
    </row>
    <row r="1046" spans="6:10" x14ac:dyDescent="0.2">
      <c r="F1046" s="47" t="s">
        <v>37</v>
      </c>
      <c r="G1046" s="47" t="s">
        <v>170</v>
      </c>
      <c r="H1046" s="39">
        <v>0</v>
      </c>
      <c r="I1046" s="39">
        <f t="shared" si="72"/>
        <v>0</v>
      </c>
      <c r="J1046" s="39">
        <f t="shared" si="73"/>
        <v>0</v>
      </c>
    </row>
    <row r="1047" spans="6:10" x14ac:dyDescent="0.2">
      <c r="F1047" s="47" t="s">
        <v>171</v>
      </c>
      <c r="G1047" s="47" t="s">
        <v>172</v>
      </c>
      <c r="H1047" s="39">
        <v>0</v>
      </c>
      <c r="I1047" s="39">
        <f t="shared" si="72"/>
        <v>0</v>
      </c>
      <c r="J1047" s="39">
        <f t="shared" si="73"/>
        <v>0</v>
      </c>
    </row>
    <row r="1048" spans="6:10" x14ac:dyDescent="0.2">
      <c r="F1048" s="47" t="s">
        <v>42</v>
      </c>
      <c r="G1048" s="47" t="s">
        <v>174</v>
      </c>
      <c r="H1048" s="39">
        <v>0</v>
      </c>
      <c r="I1048" s="39">
        <f t="shared" si="72"/>
        <v>0</v>
      </c>
      <c r="J1048" s="39">
        <f t="shared" si="73"/>
        <v>0</v>
      </c>
    </row>
    <row r="1049" spans="6:10" x14ac:dyDescent="0.2">
      <c r="F1049" s="67" t="s">
        <v>38</v>
      </c>
      <c r="G1049" s="37" t="s">
        <v>175</v>
      </c>
      <c r="H1049" s="39">
        <v>0</v>
      </c>
      <c r="I1049" s="39">
        <f t="shared" si="72"/>
        <v>0</v>
      </c>
      <c r="J1049" s="39">
        <f t="shared" si="73"/>
        <v>0</v>
      </c>
    </row>
    <row r="1050" spans="6:10" x14ac:dyDescent="0.2">
      <c r="F1050" s="47" t="s">
        <v>26</v>
      </c>
      <c r="G1050" s="47" t="s">
        <v>177</v>
      </c>
      <c r="H1050" s="39">
        <v>0</v>
      </c>
      <c r="I1050" s="39">
        <f t="shared" si="72"/>
        <v>0</v>
      </c>
      <c r="J1050" s="39">
        <f t="shared" si="73"/>
        <v>0</v>
      </c>
    </row>
    <row r="1051" spans="6:10" x14ac:dyDescent="0.2">
      <c r="F1051" s="47" t="s">
        <v>33</v>
      </c>
      <c r="G1051" s="47" t="s">
        <v>178</v>
      </c>
      <c r="H1051" s="39">
        <v>0</v>
      </c>
      <c r="I1051" s="39">
        <f t="shared" si="72"/>
        <v>0</v>
      </c>
      <c r="J1051" s="39">
        <f t="shared" si="73"/>
        <v>0</v>
      </c>
    </row>
    <row r="1052" spans="6:10" x14ac:dyDescent="0.2">
      <c r="F1052" s="47" t="s">
        <v>39</v>
      </c>
      <c r="G1052" s="47" t="s">
        <v>180</v>
      </c>
      <c r="H1052" s="39">
        <v>0</v>
      </c>
      <c r="I1052" s="39">
        <f t="shared" si="72"/>
        <v>0</v>
      </c>
      <c r="J1052" s="39">
        <f t="shared" si="73"/>
        <v>0</v>
      </c>
    </row>
    <row r="1053" spans="6:10" x14ac:dyDescent="0.2">
      <c r="F1053" s="47" t="s">
        <v>40</v>
      </c>
      <c r="G1053" s="47" t="s">
        <v>182</v>
      </c>
      <c r="H1053" s="39">
        <v>0</v>
      </c>
      <c r="I1053" s="39">
        <f t="shared" si="72"/>
        <v>0</v>
      </c>
      <c r="J1053" s="39">
        <f t="shared" si="73"/>
        <v>0</v>
      </c>
    </row>
    <row r="1054" spans="6:10" x14ac:dyDescent="0.2">
      <c r="F1054" s="67" t="s">
        <v>43</v>
      </c>
      <c r="G1054" s="47" t="s">
        <v>184</v>
      </c>
      <c r="H1054" s="39">
        <v>0</v>
      </c>
      <c r="I1054" s="39">
        <f t="shared" si="72"/>
        <v>0</v>
      </c>
      <c r="J1054" s="39">
        <f t="shared" si="73"/>
        <v>0</v>
      </c>
    </row>
    <row r="1055" spans="6:10" x14ac:dyDescent="0.2">
      <c r="F1055" s="68" t="s">
        <v>186</v>
      </c>
      <c r="G1055" s="68" t="s">
        <v>187</v>
      </c>
      <c r="H1055" s="66">
        <v>0</v>
      </c>
      <c r="I1055" s="39">
        <f t="shared" si="72"/>
        <v>0</v>
      </c>
      <c r="J1055" s="39">
        <f t="shared" si="73"/>
        <v>0</v>
      </c>
    </row>
    <row r="1056" spans="6:10" x14ac:dyDescent="0.2">
      <c r="F1056" s="47" t="s">
        <v>44</v>
      </c>
      <c r="G1056" s="47" t="s">
        <v>188</v>
      </c>
      <c r="H1056" s="39">
        <v>0</v>
      </c>
      <c r="I1056" s="39">
        <f t="shared" si="72"/>
        <v>0</v>
      </c>
      <c r="J1056" s="39">
        <f t="shared" si="73"/>
        <v>0</v>
      </c>
    </row>
    <row r="1057" spans="6:10" x14ac:dyDescent="0.2">
      <c r="F1057" s="68" t="s">
        <v>164</v>
      </c>
      <c r="G1057" s="68" t="s">
        <v>189</v>
      </c>
      <c r="H1057" s="66">
        <v>0</v>
      </c>
      <c r="I1057" s="39">
        <f t="shared" si="72"/>
        <v>0</v>
      </c>
      <c r="J1057" s="39">
        <f t="shared" si="73"/>
        <v>0</v>
      </c>
    </row>
    <row r="1058" spans="6:10" x14ac:dyDescent="0.2">
      <c r="F1058" s="47" t="s">
        <v>166</v>
      </c>
      <c r="G1058" s="47" t="s">
        <v>190</v>
      </c>
      <c r="H1058" s="39">
        <v>0</v>
      </c>
      <c r="I1058" s="39">
        <f t="shared" si="72"/>
        <v>0</v>
      </c>
      <c r="J1058" s="39">
        <f t="shared" si="73"/>
        <v>0</v>
      </c>
    </row>
    <row r="1059" spans="6:10" x14ac:dyDescent="0.2">
      <c r="F1059" s="47" t="s">
        <v>34</v>
      </c>
      <c r="G1059" s="47" t="s">
        <v>191</v>
      </c>
      <c r="H1059" s="39">
        <v>0</v>
      </c>
      <c r="I1059" s="39">
        <f t="shared" si="72"/>
        <v>0</v>
      </c>
      <c r="J1059" s="39">
        <f t="shared" si="73"/>
        <v>0</v>
      </c>
    </row>
    <row r="1060" spans="6:10" x14ac:dyDescent="0.2">
      <c r="F1060" s="47" t="s">
        <v>27</v>
      </c>
      <c r="G1060" s="47" t="s">
        <v>192</v>
      </c>
      <c r="H1060" s="39">
        <v>0</v>
      </c>
      <c r="I1060" s="39">
        <f t="shared" si="72"/>
        <v>0</v>
      </c>
      <c r="J1060" s="39">
        <f t="shared" si="73"/>
        <v>0</v>
      </c>
    </row>
    <row r="1061" spans="6:10" x14ac:dyDescent="0.2">
      <c r="F1061" s="47" t="s">
        <v>45</v>
      </c>
      <c r="G1061" s="47" t="s">
        <v>193</v>
      </c>
      <c r="H1061" s="39">
        <v>5.19</v>
      </c>
      <c r="I1061" s="39">
        <f t="shared" si="72"/>
        <v>2.5950000000000004E-2</v>
      </c>
      <c r="J1061" s="39">
        <f t="shared" si="73"/>
        <v>0.51899999999999802</v>
      </c>
    </row>
    <row r="1062" spans="6:10" x14ac:dyDescent="0.2">
      <c r="F1062" s="47" t="s">
        <v>169</v>
      </c>
      <c r="G1062" s="47" t="s">
        <v>194</v>
      </c>
      <c r="H1062" s="39">
        <v>0</v>
      </c>
      <c r="I1062" s="39">
        <f t="shared" si="72"/>
        <v>0</v>
      </c>
      <c r="J1062" s="39">
        <f t="shared" si="73"/>
        <v>0</v>
      </c>
    </row>
    <row r="1063" spans="6:10" x14ac:dyDescent="0.2">
      <c r="F1063" s="90" t="s">
        <v>35</v>
      </c>
      <c r="G1063" s="47" t="s">
        <v>196</v>
      </c>
      <c r="H1063" s="39">
        <v>0</v>
      </c>
      <c r="I1063" s="39">
        <f t="shared" si="72"/>
        <v>0</v>
      </c>
      <c r="J1063" s="39">
        <f t="shared" si="73"/>
        <v>0</v>
      </c>
    </row>
    <row r="1064" spans="6:10" x14ac:dyDescent="0.2">
      <c r="F1064" s="81"/>
      <c r="G1064" s="81"/>
      <c r="H1064" s="39" t="s">
        <v>221</v>
      </c>
      <c r="I1064" s="39">
        <f>SUM(I1030:I1063)</f>
        <v>7.3300000000000004E-2</v>
      </c>
      <c r="J1064" s="81"/>
    </row>
    <row r="1066" spans="6:10" ht="16" x14ac:dyDescent="0.2">
      <c r="H1066" s="36">
        <v>117</v>
      </c>
      <c r="I1066" s="40"/>
    </row>
    <row r="1067" spans="6:10" x14ac:dyDescent="0.2">
      <c r="F1067" s="47" t="s">
        <v>216</v>
      </c>
      <c r="G1067" s="47" t="s">
        <v>217</v>
      </c>
      <c r="H1067" s="39" t="s">
        <v>218</v>
      </c>
      <c r="I1067" s="39" t="s">
        <v>219</v>
      </c>
      <c r="J1067" s="39" t="s">
        <v>220</v>
      </c>
    </row>
    <row r="1068" spans="6:10" x14ac:dyDescent="0.2">
      <c r="F1068" s="47" t="s">
        <v>147</v>
      </c>
      <c r="G1068" s="47" t="s">
        <v>148</v>
      </c>
      <c r="H1068" s="39">
        <v>0</v>
      </c>
      <c r="I1068" s="39">
        <f t="shared" ref="I1068:I1101" si="74">(H1068*5)/1000</f>
        <v>0</v>
      </c>
      <c r="J1068" s="39">
        <f t="shared" ref="J1068:J1101" si="75">I1068/$C$33</f>
        <v>0</v>
      </c>
    </row>
    <row r="1069" spans="6:10" x14ac:dyDescent="0.2">
      <c r="F1069" s="47" t="s">
        <v>18</v>
      </c>
      <c r="G1069" s="63" t="s">
        <v>149</v>
      </c>
      <c r="H1069" s="39">
        <v>0</v>
      </c>
      <c r="I1069" s="39">
        <f t="shared" si="74"/>
        <v>0</v>
      </c>
      <c r="J1069" s="39">
        <f t="shared" si="75"/>
        <v>0</v>
      </c>
    </row>
    <row r="1070" spans="6:10" x14ac:dyDescent="0.2">
      <c r="F1070" s="47" t="s">
        <v>150</v>
      </c>
      <c r="G1070" s="63" t="s">
        <v>151</v>
      </c>
      <c r="H1070" s="39">
        <v>0</v>
      </c>
      <c r="I1070" s="39">
        <f t="shared" si="74"/>
        <v>0</v>
      </c>
      <c r="J1070" s="39">
        <f t="shared" si="75"/>
        <v>0</v>
      </c>
    </row>
    <row r="1071" spans="6:10" x14ac:dyDescent="0.2">
      <c r="F1071" s="47" t="s">
        <v>152</v>
      </c>
      <c r="G1071" s="63" t="s">
        <v>153</v>
      </c>
      <c r="H1071" s="39">
        <v>0</v>
      </c>
      <c r="I1071" s="39">
        <f t="shared" si="74"/>
        <v>0</v>
      </c>
      <c r="J1071" s="39">
        <f t="shared" si="75"/>
        <v>0</v>
      </c>
    </row>
    <row r="1072" spans="6:10" x14ac:dyDescent="0.2">
      <c r="F1072" s="47" t="s">
        <v>19</v>
      </c>
      <c r="G1072" s="63" t="s">
        <v>154</v>
      </c>
      <c r="H1072" s="39">
        <v>0</v>
      </c>
      <c r="I1072" s="39">
        <f t="shared" si="74"/>
        <v>0</v>
      </c>
      <c r="J1072" s="39">
        <f t="shared" si="75"/>
        <v>0</v>
      </c>
    </row>
    <row r="1073" spans="6:10" x14ac:dyDescent="0.2">
      <c r="F1073" s="67" t="s">
        <v>20</v>
      </c>
      <c r="G1073" s="65" t="s">
        <v>155</v>
      </c>
      <c r="H1073" s="39">
        <v>0</v>
      </c>
      <c r="I1073" s="39">
        <f t="shared" si="74"/>
        <v>0</v>
      </c>
      <c r="J1073" s="39">
        <f t="shared" si="75"/>
        <v>0</v>
      </c>
    </row>
    <row r="1074" spans="6:10" x14ac:dyDescent="0.2">
      <c r="F1074" s="47" t="s">
        <v>21</v>
      </c>
      <c r="G1074" s="63" t="s">
        <v>156</v>
      </c>
      <c r="H1074" s="39">
        <v>0</v>
      </c>
      <c r="I1074" s="39">
        <f t="shared" si="74"/>
        <v>0</v>
      </c>
      <c r="J1074" s="39">
        <f t="shared" si="75"/>
        <v>0</v>
      </c>
    </row>
    <row r="1075" spans="6:10" x14ac:dyDescent="0.2">
      <c r="F1075" s="47" t="s">
        <v>29</v>
      </c>
      <c r="G1075" s="63" t="s">
        <v>157</v>
      </c>
      <c r="H1075" s="39">
        <v>0</v>
      </c>
      <c r="I1075" s="39">
        <f t="shared" si="74"/>
        <v>0</v>
      </c>
      <c r="J1075" s="39">
        <f t="shared" si="75"/>
        <v>0</v>
      </c>
    </row>
    <row r="1076" spans="6:10" x14ac:dyDescent="0.2">
      <c r="F1076" s="47" t="s">
        <v>22</v>
      </c>
      <c r="G1076" s="63" t="s">
        <v>158</v>
      </c>
      <c r="H1076" s="39">
        <v>0</v>
      </c>
      <c r="I1076" s="39">
        <f t="shared" si="74"/>
        <v>0</v>
      </c>
      <c r="J1076" s="39">
        <f t="shared" si="75"/>
        <v>0</v>
      </c>
    </row>
    <row r="1077" spans="6:10" x14ac:dyDescent="0.2">
      <c r="F1077" s="47" t="s">
        <v>159</v>
      </c>
      <c r="G1077" s="47" t="s">
        <v>160</v>
      </c>
      <c r="H1077" s="39">
        <v>0</v>
      </c>
      <c r="I1077" s="39">
        <f t="shared" si="74"/>
        <v>0</v>
      </c>
      <c r="J1077" s="39">
        <f t="shared" si="75"/>
        <v>0</v>
      </c>
    </row>
    <row r="1078" spans="6:10" x14ac:dyDescent="0.2">
      <c r="F1078" s="47" t="s">
        <v>23</v>
      </c>
      <c r="G1078" s="47" t="s">
        <v>161</v>
      </c>
      <c r="H1078" s="39">
        <v>8.8800000000000008</v>
      </c>
      <c r="I1078" s="39">
        <f t="shared" si="74"/>
        <v>4.4400000000000009E-2</v>
      </c>
      <c r="J1078" s="39">
        <f t="shared" si="75"/>
        <v>0.88799999999999668</v>
      </c>
    </row>
    <row r="1079" spans="6:10" x14ac:dyDescent="0.2">
      <c r="F1079" s="47" t="s">
        <v>30</v>
      </c>
      <c r="G1079" s="47" t="s">
        <v>162</v>
      </c>
      <c r="H1079" s="39">
        <v>2.37</v>
      </c>
      <c r="I1079" s="39">
        <f t="shared" si="74"/>
        <v>1.1850000000000001E-2</v>
      </c>
      <c r="J1079" s="39">
        <f t="shared" si="75"/>
        <v>0.2369999999999991</v>
      </c>
    </row>
    <row r="1080" spans="6:10" x14ac:dyDescent="0.2">
      <c r="F1080" s="47" t="s">
        <v>24</v>
      </c>
      <c r="G1080" s="47" t="s">
        <v>163</v>
      </c>
      <c r="H1080" s="39">
        <v>0</v>
      </c>
      <c r="I1080" s="39">
        <f t="shared" si="74"/>
        <v>0</v>
      </c>
      <c r="J1080" s="39">
        <f t="shared" si="75"/>
        <v>0</v>
      </c>
    </row>
    <row r="1081" spans="6:10" x14ac:dyDescent="0.2">
      <c r="F1081" s="47" t="s">
        <v>31</v>
      </c>
      <c r="G1081" s="47" t="s">
        <v>165</v>
      </c>
      <c r="H1081" s="39">
        <v>0</v>
      </c>
      <c r="I1081" s="39">
        <f t="shared" si="74"/>
        <v>0</v>
      </c>
      <c r="J1081" s="39">
        <f t="shared" si="75"/>
        <v>0</v>
      </c>
    </row>
    <row r="1082" spans="6:10" x14ac:dyDescent="0.2">
      <c r="F1082" s="47" t="s">
        <v>25</v>
      </c>
      <c r="G1082" s="47" t="s">
        <v>167</v>
      </c>
      <c r="H1082" s="39">
        <v>5.69</v>
      </c>
      <c r="I1082" s="39">
        <f t="shared" si="74"/>
        <v>2.8450000000000003E-2</v>
      </c>
      <c r="J1082" s="39">
        <f t="shared" si="75"/>
        <v>0.56899999999999784</v>
      </c>
    </row>
    <row r="1083" spans="6:10" x14ac:dyDescent="0.2">
      <c r="F1083" s="47" t="s">
        <v>32</v>
      </c>
      <c r="G1083" s="47" t="s">
        <v>168</v>
      </c>
      <c r="H1083" s="39">
        <v>9.89</v>
      </c>
      <c r="I1083" s="39">
        <f t="shared" si="74"/>
        <v>4.9450000000000001E-2</v>
      </c>
      <c r="J1083" s="39">
        <f t="shared" si="75"/>
        <v>0.9889999999999961</v>
      </c>
    </row>
    <row r="1084" spans="6:10" x14ac:dyDescent="0.2">
      <c r="F1084" s="47" t="s">
        <v>37</v>
      </c>
      <c r="G1084" s="47" t="s">
        <v>170</v>
      </c>
      <c r="H1084" s="39">
        <v>0</v>
      </c>
      <c r="I1084" s="39">
        <f t="shared" si="74"/>
        <v>0</v>
      </c>
      <c r="J1084" s="39">
        <f t="shared" si="75"/>
        <v>0</v>
      </c>
    </row>
    <row r="1085" spans="6:10" x14ac:dyDescent="0.2">
      <c r="F1085" s="47" t="s">
        <v>171</v>
      </c>
      <c r="G1085" s="47" t="s">
        <v>172</v>
      </c>
      <c r="H1085" s="39">
        <v>0</v>
      </c>
      <c r="I1085" s="39">
        <f t="shared" si="74"/>
        <v>0</v>
      </c>
      <c r="J1085" s="39">
        <f t="shared" si="75"/>
        <v>0</v>
      </c>
    </row>
    <row r="1086" spans="6:10" x14ac:dyDescent="0.2">
      <c r="F1086" s="47" t="s">
        <v>42</v>
      </c>
      <c r="G1086" s="47" t="s">
        <v>174</v>
      </c>
      <c r="H1086" s="39">
        <v>0</v>
      </c>
      <c r="I1086" s="39">
        <f t="shared" si="74"/>
        <v>0</v>
      </c>
      <c r="J1086" s="39">
        <f t="shared" si="75"/>
        <v>0</v>
      </c>
    </row>
    <row r="1087" spans="6:10" x14ac:dyDescent="0.2">
      <c r="F1087" s="47" t="s">
        <v>38</v>
      </c>
      <c r="G1087" s="37" t="s">
        <v>175</v>
      </c>
      <c r="H1087" s="39">
        <v>0</v>
      </c>
      <c r="I1087" s="39">
        <f t="shared" si="74"/>
        <v>0</v>
      </c>
      <c r="J1087" s="39">
        <f t="shared" si="75"/>
        <v>0</v>
      </c>
    </row>
    <row r="1088" spans="6:10" x14ac:dyDescent="0.2">
      <c r="F1088" s="47" t="s">
        <v>26</v>
      </c>
      <c r="G1088" s="47" t="s">
        <v>177</v>
      </c>
      <c r="H1088" s="39">
        <v>0</v>
      </c>
      <c r="I1088" s="39">
        <f t="shared" si="74"/>
        <v>0</v>
      </c>
      <c r="J1088" s="39">
        <f t="shared" si="75"/>
        <v>0</v>
      </c>
    </row>
    <row r="1089" spans="6:10" x14ac:dyDescent="0.2">
      <c r="F1089" s="47" t="s">
        <v>33</v>
      </c>
      <c r="G1089" s="47" t="s">
        <v>178</v>
      </c>
      <c r="H1089" s="39">
        <v>2.63</v>
      </c>
      <c r="I1089" s="39">
        <f t="shared" si="74"/>
        <v>1.3149999999999998E-2</v>
      </c>
      <c r="J1089" s="39">
        <f t="shared" si="75"/>
        <v>0.26299999999999896</v>
      </c>
    </row>
    <row r="1090" spans="6:10" x14ac:dyDescent="0.2">
      <c r="F1090" s="47" t="s">
        <v>39</v>
      </c>
      <c r="G1090" s="47" t="s">
        <v>180</v>
      </c>
      <c r="H1090" s="39">
        <v>0</v>
      </c>
      <c r="I1090" s="39">
        <f t="shared" si="74"/>
        <v>0</v>
      </c>
      <c r="J1090" s="39">
        <f t="shared" si="75"/>
        <v>0</v>
      </c>
    </row>
    <row r="1091" spans="6:10" x14ac:dyDescent="0.2">
      <c r="F1091" s="47" t="s">
        <v>40</v>
      </c>
      <c r="G1091" s="47" t="s">
        <v>182</v>
      </c>
      <c r="H1091" s="39">
        <v>0</v>
      </c>
      <c r="I1091" s="39">
        <f t="shared" si="74"/>
        <v>0</v>
      </c>
      <c r="J1091" s="39">
        <f t="shared" si="75"/>
        <v>0</v>
      </c>
    </row>
    <row r="1092" spans="6:10" x14ac:dyDescent="0.2">
      <c r="F1092" s="47" t="s">
        <v>43</v>
      </c>
      <c r="G1092" s="47" t="s">
        <v>184</v>
      </c>
      <c r="H1092" s="39">
        <v>2.42</v>
      </c>
      <c r="I1092" s="39">
        <f t="shared" si="74"/>
        <v>1.21E-2</v>
      </c>
      <c r="J1092" s="39">
        <f t="shared" si="75"/>
        <v>0.24199999999999905</v>
      </c>
    </row>
    <row r="1093" spans="6:10" x14ac:dyDescent="0.2">
      <c r="F1093" s="68" t="s">
        <v>186</v>
      </c>
      <c r="G1093" s="68" t="s">
        <v>187</v>
      </c>
      <c r="H1093" s="68">
        <v>0</v>
      </c>
      <c r="I1093" s="39">
        <f t="shared" si="74"/>
        <v>0</v>
      </c>
      <c r="J1093" s="39">
        <f t="shared" si="75"/>
        <v>0</v>
      </c>
    </row>
    <row r="1094" spans="6:10" x14ac:dyDescent="0.2">
      <c r="F1094" s="47" t="s">
        <v>44</v>
      </c>
      <c r="G1094" s="47" t="s">
        <v>188</v>
      </c>
      <c r="H1094" s="39">
        <v>0</v>
      </c>
      <c r="I1094" s="39">
        <f t="shared" si="74"/>
        <v>0</v>
      </c>
      <c r="J1094" s="39">
        <f t="shared" si="75"/>
        <v>0</v>
      </c>
    </row>
    <row r="1095" spans="6:10" x14ac:dyDescent="0.2">
      <c r="F1095" s="68" t="s">
        <v>164</v>
      </c>
      <c r="G1095" s="68" t="s">
        <v>189</v>
      </c>
      <c r="H1095" s="68">
        <v>0</v>
      </c>
      <c r="I1095" s="39">
        <f t="shared" si="74"/>
        <v>0</v>
      </c>
      <c r="J1095" s="39">
        <f t="shared" si="75"/>
        <v>0</v>
      </c>
    </row>
    <row r="1096" spans="6:10" x14ac:dyDescent="0.2">
      <c r="F1096" s="47" t="s">
        <v>166</v>
      </c>
      <c r="G1096" s="47" t="s">
        <v>190</v>
      </c>
      <c r="H1096" s="39">
        <v>0</v>
      </c>
      <c r="I1096" s="39">
        <f t="shared" si="74"/>
        <v>0</v>
      </c>
      <c r="J1096" s="39">
        <f t="shared" si="75"/>
        <v>0</v>
      </c>
    </row>
    <row r="1097" spans="6:10" x14ac:dyDescent="0.2">
      <c r="F1097" s="47" t="s">
        <v>34</v>
      </c>
      <c r="G1097" s="47" t="s">
        <v>191</v>
      </c>
      <c r="H1097" s="39">
        <v>0</v>
      </c>
      <c r="I1097" s="39">
        <f t="shared" si="74"/>
        <v>0</v>
      </c>
      <c r="J1097" s="39">
        <f t="shared" si="75"/>
        <v>0</v>
      </c>
    </row>
    <row r="1098" spans="6:10" x14ac:dyDescent="0.2">
      <c r="F1098" s="47" t="s">
        <v>27</v>
      </c>
      <c r="G1098" s="47" t="s">
        <v>192</v>
      </c>
      <c r="H1098" s="39">
        <v>0</v>
      </c>
      <c r="I1098" s="39">
        <f t="shared" si="74"/>
        <v>0</v>
      </c>
      <c r="J1098" s="39">
        <f t="shared" si="75"/>
        <v>0</v>
      </c>
    </row>
    <row r="1099" spans="6:10" x14ac:dyDescent="0.2">
      <c r="F1099" s="47" t="s">
        <v>45</v>
      </c>
      <c r="G1099" s="47" t="s">
        <v>193</v>
      </c>
      <c r="H1099" s="39">
        <v>12.55</v>
      </c>
      <c r="I1099" s="39">
        <f t="shared" si="74"/>
        <v>6.275E-2</v>
      </c>
      <c r="J1099" s="39">
        <f t="shared" si="75"/>
        <v>1.254999999999995</v>
      </c>
    </row>
    <row r="1100" spans="6:10" x14ac:dyDescent="0.2">
      <c r="F1100" s="47" t="s">
        <v>169</v>
      </c>
      <c r="G1100" s="47" t="s">
        <v>194</v>
      </c>
      <c r="H1100" s="39">
        <v>0</v>
      </c>
      <c r="I1100" s="39">
        <f t="shared" si="74"/>
        <v>0</v>
      </c>
      <c r="J1100" s="39">
        <f t="shared" si="75"/>
        <v>0</v>
      </c>
    </row>
    <row r="1101" spans="6:10" x14ac:dyDescent="0.2">
      <c r="F1101" s="47" t="s">
        <v>35</v>
      </c>
      <c r="G1101" s="47" t="s">
        <v>196</v>
      </c>
      <c r="H1101" s="79">
        <v>0</v>
      </c>
      <c r="I1101" s="39">
        <f t="shared" si="74"/>
        <v>0</v>
      </c>
      <c r="J1101" s="39">
        <f t="shared" si="75"/>
        <v>0</v>
      </c>
    </row>
    <row r="1102" spans="6:10" x14ac:dyDescent="0.2">
      <c r="H1102" s="39" t="s">
        <v>221</v>
      </c>
      <c r="I1102" s="39">
        <f>SUM(I1072:I1100)</f>
        <v>0.22215000000000001</v>
      </c>
    </row>
    <row r="1104" spans="6:10" ht="16" x14ac:dyDescent="0.2">
      <c r="H1104" s="36">
        <v>103</v>
      </c>
      <c r="I1104" s="40"/>
    </row>
    <row r="1105" spans="6:10" x14ac:dyDescent="0.2">
      <c r="F1105" s="47" t="s">
        <v>216</v>
      </c>
      <c r="G1105" s="47" t="s">
        <v>217</v>
      </c>
      <c r="H1105" s="39" t="s">
        <v>218</v>
      </c>
      <c r="I1105" s="39" t="s">
        <v>219</v>
      </c>
      <c r="J1105" s="39" t="s">
        <v>220</v>
      </c>
    </row>
    <row r="1106" spans="6:10" x14ac:dyDescent="0.2">
      <c r="F1106" s="47" t="s">
        <v>147</v>
      </c>
      <c r="G1106" s="47" t="s">
        <v>148</v>
      </c>
      <c r="H1106" s="39">
        <v>0</v>
      </c>
      <c r="I1106" s="39">
        <f t="shared" ref="I1106:I1124" si="76">(H1106*5)/1000</f>
        <v>0</v>
      </c>
      <c r="J1106" s="39">
        <f t="shared" ref="J1106:J1139" si="77">I1106/$C$34</f>
        <v>0</v>
      </c>
    </row>
    <row r="1107" spans="6:10" x14ac:dyDescent="0.2">
      <c r="F1107" s="47" t="s">
        <v>18</v>
      </c>
      <c r="G1107" s="63" t="s">
        <v>149</v>
      </c>
      <c r="H1107" s="39">
        <v>0</v>
      </c>
      <c r="I1107" s="39">
        <f t="shared" si="76"/>
        <v>0</v>
      </c>
      <c r="J1107" s="39">
        <f t="shared" si="77"/>
        <v>0</v>
      </c>
    </row>
    <row r="1108" spans="6:10" x14ac:dyDescent="0.2">
      <c r="F1108" s="47" t="s">
        <v>150</v>
      </c>
      <c r="G1108" s="63" t="s">
        <v>151</v>
      </c>
      <c r="H1108" s="39">
        <v>0</v>
      </c>
      <c r="I1108" s="39">
        <f t="shared" si="76"/>
        <v>0</v>
      </c>
      <c r="J1108" s="39">
        <f t="shared" si="77"/>
        <v>0</v>
      </c>
    </row>
    <row r="1109" spans="6:10" x14ac:dyDescent="0.2">
      <c r="F1109" s="47" t="s">
        <v>152</v>
      </c>
      <c r="G1109" s="63" t="s">
        <v>153</v>
      </c>
      <c r="H1109" s="39">
        <v>0</v>
      </c>
      <c r="I1109" s="39">
        <f t="shared" si="76"/>
        <v>0</v>
      </c>
      <c r="J1109" s="39">
        <f t="shared" si="77"/>
        <v>0</v>
      </c>
    </row>
    <row r="1110" spans="6:10" x14ac:dyDescent="0.2">
      <c r="F1110" s="47" t="s">
        <v>19</v>
      </c>
      <c r="G1110" s="63" t="s">
        <v>154</v>
      </c>
      <c r="H1110" s="39">
        <v>0</v>
      </c>
      <c r="I1110" s="39">
        <f t="shared" si="76"/>
        <v>0</v>
      </c>
      <c r="J1110" s="39">
        <f t="shared" si="77"/>
        <v>0</v>
      </c>
    </row>
    <row r="1111" spans="6:10" x14ac:dyDescent="0.2">
      <c r="F1111" s="67" t="s">
        <v>20</v>
      </c>
      <c r="G1111" s="65" t="s">
        <v>155</v>
      </c>
      <c r="H1111" s="39">
        <v>0</v>
      </c>
      <c r="I1111" s="39">
        <f t="shared" si="76"/>
        <v>0</v>
      </c>
      <c r="J1111" s="39">
        <f t="shared" si="77"/>
        <v>0</v>
      </c>
    </row>
    <row r="1112" spans="6:10" x14ac:dyDescent="0.2">
      <c r="F1112" s="47" t="s">
        <v>21</v>
      </c>
      <c r="G1112" s="63" t="s">
        <v>156</v>
      </c>
      <c r="H1112" s="39">
        <v>0</v>
      </c>
      <c r="I1112" s="39">
        <f t="shared" si="76"/>
        <v>0</v>
      </c>
      <c r="J1112" s="39">
        <f t="shared" si="77"/>
        <v>0</v>
      </c>
    </row>
    <row r="1113" spans="6:10" x14ac:dyDescent="0.2">
      <c r="F1113" s="47" t="s">
        <v>29</v>
      </c>
      <c r="G1113" s="63" t="s">
        <v>157</v>
      </c>
      <c r="H1113" s="39">
        <v>0</v>
      </c>
      <c r="I1113" s="39">
        <f t="shared" si="76"/>
        <v>0</v>
      </c>
      <c r="J1113" s="39">
        <f t="shared" si="77"/>
        <v>0</v>
      </c>
    </row>
    <row r="1114" spans="6:10" x14ac:dyDescent="0.2">
      <c r="F1114" s="47" t="s">
        <v>22</v>
      </c>
      <c r="G1114" s="63" t="s">
        <v>158</v>
      </c>
      <c r="H1114" s="39">
        <v>0</v>
      </c>
      <c r="I1114" s="39">
        <f t="shared" si="76"/>
        <v>0</v>
      </c>
      <c r="J1114" s="39">
        <f t="shared" si="77"/>
        <v>0</v>
      </c>
    </row>
    <row r="1115" spans="6:10" x14ac:dyDescent="0.2">
      <c r="F1115" s="47" t="s">
        <v>159</v>
      </c>
      <c r="G1115" s="47" t="s">
        <v>160</v>
      </c>
      <c r="H1115" s="39">
        <v>0</v>
      </c>
      <c r="I1115" s="39">
        <f t="shared" si="76"/>
        <v>0</v>
      </c>
      <c r="J1115" s="39">
        <f t="shared" si="77"/>
        <v>0</v>
      </c>
    </row>
    <row r="1116" spans="6:10" x14ac:dyDescent="0.2">
      <c r="F1116" s="47" t="s">
        <v>23</v>
      </c>
      <c r="G1116" s="47" t="s">
        <v>161</v>
      </c>
      <c r="H1116" s="39">
        <v>4.3600000000000003</v>
      </c>
      <c r="I1116" s="39">
        <f t="shared" si="76"/>
        <v>2.18E-2</v>
      </c>
      <c r="J1116" s="39">
        <f t="shared" si="77"/>
        <v>0.43599999999999828</v>
      </c>
    </row>
    <row r="1117" spans="6:10" x14ac:dyDescent="0.2">
      <c r="F1117" s="47" t="s">
        <v>30</v>
      </c>
      <c r="G1117" s="47" t="s">
        <v>162</v>
      </c>
      <c r="H1117" s="39">
        <v>1.31</v>
      </c>
      <c r="I1117" s="39">
        <f t="shared" si="76"/>
        <v>6.5500000000000011E-3</v>
      </c>
      <c r="J1117" s="39">
        <f t="shared" si="77"/>
        <v>0.13099999999999951</v>
      </c>
    </row>
    <row r="1118" spans="6:10" x14ac:dyDescent="0.2">
      <c r="F1118" s="47" t="s">
        <v>24</v>
      </c>
      <c r="G1118" s="47" t="s">
        <v>163</v>
      </c>
      <c r="H1118" s="39">
        <v>0</v>
      </c>
      <c r="I1118" s="39">
        <f t="shared" si="76"/>
        <v>0</v>
      </c>
      <c r="J1118" s="39">
        <f t="shared" si="77"/>
        <v>0</v>
      </c>
    </row>
    <row r="1119" spans="6:10" x14ac:dyDescent="0.2">
      <c r="F1119" s="47" t="s">
        <v>31</v>
      </c>
      <c r="G1119" s="47" t="s">
        <v>165</v>
      </c>
      <c r="H1119" s="39">
        <v>0</v>
      </c>
      <c r="I1119" s="39">
        <f t="shared" si="76"/>
        <v>0</v>
      </c>
      <c r="J1119" s="39">
        <f t="shared" si="77"/>
        <v>0</v>
      </c>
    </row>
    <row r="1120" spans="6:10" x14ac:dyDescent="0.2">
      <c r="F1120" s="47" t="s">
        <v>25</v>
      </c>
      <c r="G1120" s="47" t="s">
        <v>167</v>
      </c>
      <c r="H1120" s="39">
        <v>2.58</v>
      </c>
      <c r="I1120" s="39">
        <f t="shared" si="76"/>
        <v>1.29E-2</v>
      </c>
      <c r="J1120" s="39">
        <f t="shared" si="77"/>
        <v>0.25799999999999901</v>
      </c>
    </row>
    <row r="1121" spans="6:10" x14ac:dyDescent="0.2">
      <c r="F1121" s="47" t="s">
        <v>32</v>
      </c>
      <c r="G1121" s="47" t="s">
        <v>168</v>
      </c>
      <c r="H1121" s="39">
        <v>5.15</v>
      </c>
      <c r="I1121" s="39">
        <f t="shared" si="76"/>
        <v>2.5749999999999999E-2</v>
      </c>
      <c r="J1121" s="39">
        <f t="shared" si="77"/>
        <v>0.5149999999999979</v>
      </c>
    </row>
    <row r="1122" spans="6:10" x14ac:dyDescent="0.2">
      <c r="F1122" s="47" t="s">
        <v>37</v>
      </c>
      <c r="G1122" s="47" t="s">
        <v>170</v>
      </c>
      <c r="H1122" s="39">
        <v>0</v>
      </c>
      <c r="I1122" s="39">
        <f t="shared" si="76"/>
        <v>0</v>
      </c>
      <c r="J1122" s="39">
        <f t="shared" si="77"/>
        <v>0</v>
      </c>
    </row>
    <row r="1123" spans="6:10" x14ac:dyDescent="0.2">
      <c r="F1123" s="47" t="s">
        <v>171</v>
      </c>
      <c r="G1123" s="47" t="s">
        <v>172</v>
      </c>
      <c r="H1123" s="39">
        <v>0</v>
      </c>
      <c r="I1123" s="39">
        <f t="shared" si="76"/>
        <v>0</v>
      </c>
      <c r="J1123" s="39">
        <f t="shared" si="77"/>
        <v>0</v>
      </c>
    </row>
    <row r="1124" spans="6:10" x14ac:dyDescent="0.2">
      <c r="F1124" s="47" t="s">
        <v>42</v>
      </c>
      <c r="G1124" s="47" t="s">
        <v>174</v>
      </c>
      <c r="H1124" s="39">
        <v>0</v>
      </c>
      <c r="I1124" s="39">
        <f t="shared" si="76"/>
        <v>0</v>
      </c>
      <c r="J1124" s="39">
        <f t="shared" si="77"/>
        <v>0</v>
      </c>
    </row>
    <row r="1125" spans="6:10" x14ac:dyDescent="0.2">
      <c r="F1125" s="67" t="s">
        <v>38</v>
      </c>
      <c r="G1125" s="37" t="s">
        <v>175</v>
      </c>
      <c r="H1125" s="39">
        <v>0</v>
      </c>
      <c r="J1125" s="39">
        <f t="shared" si="77"/>
        <v>0</v>
      </c>
    </row>
    <row r="1126" spans="6:10" x14ac:dyDescent="0.2">
      <c r="F1126" s="47" t="s">
        <v>26</v>
      </c>
      <c r="G1126" s="47" t="s">
        <v>177</v>
      </c>
      <c r="H1126" s="39">
        <v>0</v>
      </c>
      <c r="I1126" s="39">
        <f t="shared" ref="I1126:I1139" si="78">(H1126*5)/1000</f>
        <v>0</v>
      </c>
      <c r="J1126" s="39">
        <f t="shared" si="77"/>
        <v>0</v>
      </c>
    </row>
    <row r="1127" spans="6:10" x14ac:dyDescent="0.2">
      <c r="F1127" s="47" t="s">
        <v>33</v>
      </c>
      <c r="G1127" s="47" t="s">
        <v>178</v>
      </c>
      <c r="H1127" s="39">
        <v>0</v>
      </c>
      <c r="I1127" s="39">
        <f t="shared" si="78"/>
        <v>0</v>
      </c>
      <c r="J1127" s="39">
        <f t="shared" si="77"/>
        <v>0</v>
      </c>
    </row>
    <row r="1128" spans="6:10" x14ac:dyDescent="0.2">
      <c r="F1128" s="47" t="s">
        <v>39</v>
      </c>
      <c r="G1128" s="47" t="s">
        <v>180</v>
      </c>
      <c r="H1128" s="39">
        <v>0</v>
      </c>
      <c r="I1128" s="39">
        <f t="shared" si="78"/>
        <v>0</v>
      </c>
      <c r="J1128" s="39">
        <f t="shared" si="77"/>
        <v>0</v>
      </c>
    </row>
    <row r="1129" spans="6:10" x14ac:dyDescent="0.2">
      <c r="F1129" s="47" t="s">
        <v>40</v>
      </c>
      <c r="G1129" s="47" t="s">
        <v>182</v>
      </c>
      <c r="H1129" s="39">
        <v>0</v>
      </c>
      <c r="I1129" s="39">
        <f t="shared" si="78"/>
        <v>0</v>
      </c>
      <c r="J1129" s="39">
        <f t="shared" si="77"/>
        <v>0</v>
      </c>
    </row>
    <row r="1130" spans="6:10" x14ac:dyDescent="0.2">
      <c r="F1130" s="67" t="s">
        <v>43</v>
      </c>
      <c r="G1130" s="47" t="s">
        <v>184</v>
      </c>
      <c r="H1130" s="66">
        <v>0</v>
      </c>
      <c r="I1130" s="39">
        <f t="shared" si="78"/>
        <v>0</v>
      </c>
      <c r="J1130" s="39">
        <f t="shared" si="77"/>
        <v>0</v>
      </c>
    </row>
    <row r="1131" spans="6:10" x14ac:dyDescent="0.2">
      <c r="F1131" s="68" t="s">
        <v>186</v>
      </c>
      <c r="G1131" s="68" t="s">
        <v>187</v>
      </c>
      <c r="H1131" s="66">
        <v>0</v>
      </c>
      <c r="I1131" s="39">
        <f t="shared" si="78"/>
        <v>0</v>
      </c>
      <c r="J1131" s="39">
        <f t="shared" si="77"/>
        <v>0</v>
      </c>
    </row>
    <row r="1132" spans="6:10" x14ac:dyDescent="0.2">
      <c r="F1132" s="47" t="s">
        <v>44</v>
      </c>
      <c r="G1132" s="47" t="s">
        <v>188</v>
      </c>
      <c r="H1132" s="39">
        <v>0</v>
      </c>
      <c r="I1132" s="39">
        <f t="shared" si="78"/>
        <v>0</v>
      </c>
      <c r="J1132" s="39">
        <f t="shared" si="77"/>
        <v>0</v>
      </c>
    </row>
    <row r="1133" spans="6:10" x14ac:dyDescent="0.2">
      <c r="F1133" s="68" t="s">
        <v>164</v>
      </c>
      <c r="G1133" s="68" t="s">
        <v>189</v>
      </c>
      <c r="H1133" s="66">
        <v>0</v>
      </c>
      <c r="I1133" s="39">
        <f t="shared" si="78"/>
        <v>0</v>
      </c>
      <c r="J1133" s="39">
        <f t="shared" si="77"/>
        <v>0</v>
      </c>
    </row>
    <row r="1134" spans="6:10" x14ac:dyDescent="0.2">
      <c r="F1134" s="47" t="s">
        <v>166</v>
      </c>
      <c r="G1134" s="47" t="s">
        <v>190</v>
      </c>
      <c r="H1134" s="39">
        <v>0</v>
      </c>
      <c r="I1134" s="39">
        <f t="shared" si="78"/>
        <v>0</v>
      </c>
      <c r="J1134" s="39">
        <f t="shared" si="77"/>
        <v>0</v>
      </c>
    </row>
    <row r="1135" spans="6:10" x14ac:dyDescent="0.2">
      <c r="F1135" s="47" t="s">
        <v>34</v>
      </c>
      <c r="G1135" s="47" t="s">
        <v>191</v>
      </c>
      <c r="H1135" s="39">
        <v>0</v>
      </c>
      <c r="I1135" s="39">
        <f t="shared" si="78"/>
        <v>0</v>
      </c>
      <c r="J1135" s="39">
        <f t="shared" si="77"/>
        <v>0</v>
      </c>
    </row>
    <row r="1136" spans="6:10" x14ac:dyDescent="0.2">
      <c r="F1136" s="47" t="s">
        <v>27</v>
      </c>
      <c r="G1136" s="47" t="s">
        <v>192</v>
      </c>
      <c r="H1136" s="39">
        <v>0</v>
      </c>
      <c r="I1136" s="39">
        <f t="shared" si="78"/>
        <v>0</v>
      </c>
      <c r="J1136" s="39">
        <f t="shared" si="77"/>
        <v>0</v>
      </c>
    </row>
    <row r="1137" spans="6:10" x14ac:dyDescent="0.2">
      <c r="F1137" s="47" t="s">
        <v>45</v>
      </c>
      <c r="G1137" s="47" t="s">
        <v>193</v>
      </c>
      <c r="H1137" s="39">
        <v>6.12</v>
      </c>
      <c r="I1137" s="39">
        <f t="shared" si="78"/>
        <v>3.0600000000000002E-2</v>
      </c>
      <c r="J1137" s="39">
        <f t="shared" si="77"/>
        <v>0.61199999999999766</v>
      </c>
    </row>
    <row r="1138" spans="6:10" x14ac:dyDescent="0.2">
      <c r="F1138" s="47" t="s">
        <v>169</v>
      </c>
      <c r="G1138" s="47" t="s">
        <v>194</v>
      </c>
      <c r="H1138" s="39">
        <v>0</v>
      </c>
      <c r="I1138" s="39">
        <f t="shared" si="78"/>
        <v>0</v>
      </c>
      <c r="J1138" s="39">
        <f t="shared" si="77"/>
        <v>0</v>
      </c>
    </row>
    <row r="1139" spans="6:10" x14ac:dyDescent="0.2">
      <c r="F1139" s="47" t="s">
        <v>35</v>
      </c>
      <c r="G1139" s="47" t="s">
        <v>196</v>
      </c>
      <c r="H1139" s="79">
        <v>0</v>
      </c>
      <c r="I1139" s="39">
        <f t="shared" si="78"/>
        <v>0</v>
      </c>
      <c r="J1139" s="39">
        <f t="shared" si="77"/>
        <v>0</v>
      </c>
    </row>
    <row r="1140" spans="6:10" x14ac:dyDescent="0.2">
      <c r="H1140" s="39" t="s">
        <v>221</v>
      </c>
      <c r="I1140" s="39">
        <f>SUM(I1110:I1138)</f>
        <v>9.7600000000000006E-2</v>
      </c>
    </row>
    <row r="1142" spans="6:10" ht="16" x14ac:dyDescent="0.2">
      <c r="H1142" s="36">
        <v>12</v>
      </c>
    </row>
    <row r="1143" spans="6:10" x14ac:dyDescent="0.2">
      <c r="F1143" s="47" t="s">
        <v>216</v>
      </c>
      <c r="G1143" s="47" t="s">
        <v>217</v>
      </c>
      <c r="H1143" s="39" t="s">
        <v>218</v>
      </c>
      <c r="I1143" s="39" t="s">
        <v>219</v>
      </c>
      <c r="J1143" s="39" t="s">
        <v>220</v>
      </c>
    </row>
    <row r="1144" spans="6:10" x14ac:dyDescent="0.2">
      <c r="F1144" s="47" t="s">
        <v>147</v>
      </c>
      <c r="G1144" s="47" t="s">
        <v>148</v>
      </c>
      <c r="H1144" s="39">
        <v>0</v>
      </c>
      <c r="I1144" s="39">
        <f t="shared" ref="I1144:I1177" si="79">(H1144*5)/1000</f>
        <v>0</v>
      </c>
      <c r="J1144" s="39">
        <f t="shared" ref="J1144:J1177" si="80">I1144/$C$35</f>
        <v>0</v>
      </c>
    </row>
    <row r="1145" spans="6:10" x14ac:dyDescent="0.2">
      <c r="F1145" s="47" t="s">
        <v>18</v>
      </c>
      <c r="G1145" s="63" t="s">
        <v>149</v>
      </c>
      <c r="H1145" s="39">
        <v>0</v>
      </c>
      <c r="I1145" s="39">
        <f t="shared" si="79"/>
        <v>0</v>
      </c>
      <c r="J1145" s="39">
        <f t="shared" si="80"/>
        <v>0</v>
      </c>
    </row>
    <row r="1146" spans="6:10" x14ac:dyDescent="0.2">
      <c r="F1146" s="47" t="s">
        <v>150</v>
      </c>
      <c r="G1146" s="63" t="s">
        <v>151</v>
      </c>
      <c r="H1146" s="39">
        <v>0</v>
      </c>
      <c r="I1146" s="39">
        <f t="shared" si="79"/>
        <v>0</v>
      </c>
      <c r="J1146" s="39">
        <f t="shared" si="80"/>
        <v>0</v>
      </c>
    </row>
    <row r="1147" spans="6:10" x14ac:dyDescent="0.2">
      <c r="F1147" s="47" t="s">
        <v>152</v>
      </c>
      <c r="G1147" s="63" t="s">
        <v>153</v>
      </c>
      <c r="H1147" s="39">
        <v>0</v>
      </c>
      <c r="I1147" s="39">
        <f t="shared" si="79"/>
        <v>0</v>
      </c>
      <c r="J1147" s="39">
        <f t="shared" si="80"/>
        <v>0</v>
      </c>
    </row>
    <row r="1148" spans="6:10" x14ac:dyDescent="0.2">
      <c r="F1148" s="47" t="s">
        <v>19</v>
      </c>
      <c r="G1148" s="63" t="s">
        <v>154</v>
      </c>
      <c r="H1148" s="39">
        <v>0</v>
      </c>
      <c r="I1148" s="39">
        <f t="shared" si="79"/>
        <v>0</v>
      </c>
      <c r="J1148" s="39">
        <f t="shared" si="80"/>
        <v>0</v>
      </c>
    </row>
    <row r="1149" spans="6:10" x14ac:dyDescent="0.2">
      <c r="F1149" s="64" t="s">
        <v>20</v>
      </c>
      <c r="G1149" s="65" t="s">
        <v>155</v>
      </c>
      <c r="H1149" s="39">
        <v>0</v>
      </c>
      <c r="I1149" s="39">
        <f t="shared" si="79"/>
        <v>0</v>
      </c>
      <c r="J1149" s="39">
        <f t="shared" si="80"/>
        <v>0</v>
      </c>
    </row>
    <row r="1150" spans="6:10" x14ac:dyDescent="0.2">
      <c r="F1150" s="47" t="s">
        <v>21</v>
      </c>
      <c r="G1150" s="63" t="s">
        <v>156</v>
      </c>
      <c r="H1150" s="39">
        <v>0</v>
      </c>
      <c r="I1150" s="39">
        <f t="shared" si="79"/>
        <v>0</v>
      </c>
      <c r="J1150" s="39">
        <f t="shared" si="80"/>
        <v>0</v>
      </c>
    </row>
    <row r="1151" spans="6:10" x14ac:dyDescent="0.2">
      <c r="F1151" s="47" t="s">
        <v>29</v>
      </c>
      <c r="G1151" s="63" t="s">
        <v>157</v>
      </c>
      <c r="H1151" s="39">
        <v>0</v>
      </c>
      <c r="I1151" s="39">
        <f t="shared" si="79"/>
        <v>0</v>
      </c>
      <c r="J1151" s="39">
        <f t="shared" si="80"/>
        <v>0</v>
      </c>
    </row>
    <row r="1152" spans="6:10" x14ac:dyDescent="0.2">
      <c r="F1152" s="47" t="s">
        <v>22</v>
      </c>
      <c r="G1152" s="63" t="s">
        <v>158</v>
      </c>
      <c r="H1152" s="39">
        <v>0</v>
      </c>
      <c r="I1152" s="39">
        <f t="shared" si="79"/>
        <v>0</v>
      </c>
      <c r="J1152" s="39">
        <f t="shared" si="80"/>
        <v>0</v>
      </c>
    </row>
    <row r="1153" spans="6:10" x14ac:dyDescent="0.2">
      <c r="F1153" s="47" t="s">
        <v>159</v>
      </c>
      <c r="G1153" s="47" t="s">
        <v>160</v>
      </c>
      <c r="H1153" s="39">
        <v>0</v>
      </c>
      <c r="I1153" s="39">
        <f t="shared" si="79"/>
        <v>0</v>
      </c>
      <c r="J1153" s="39">
        <f t="shared" si="80"/>
        <v>0</v>
      </c>
    </row>
    <row r="1154" spans="6:10" x14ac:dyDescent="0.2">
      <c r="F1154" s="47" t="s">
        <v>23</v>
      </c>
      <c r="G1154" s="47" t="s">
        <v>161</v>
      </c>
      <c r="H1154" s="39">
        <v>3</v>
      </c>
      <c r="I1154" s="39">
        <f t="shared" si="79"/>
        <v>1.4999999999999999E-2</v>
      </c>
      <c r="J1154" s="39">
        <f t="shared" si="80"/>
        <v>0.29999999999999882</v>
      </c>
    </row>
    <row r="1155" spans="6:10" x14ac:dyDescent="0.2">
      <c r="F1155" s="47" t="s">
        <v>30</v>
      </c>
      <c r="G1155" s="47" t="s">
        <v>162</v>
      </c>
      <c r="H1155" s="39">
        <v>0</v>
      </c>
      <c r="I1155" s="39">
        <f t="shared" si="79"/>
        <v>0</v>
      </c>
      <c r="J1155" s="39">
        <f t="shared" si="80"/>
        <v>0</v>
      </c>
    </row>
    <row r="1156" spans="6:10" x14ac:dyDescent="0.2">
      <c r="F1156" s="47" t="s">
        <v>24</v>
      </c>
      <c r="G1156" s="47" t="s">
        <v>163</v>
      </c>
      <c r="H1156" s="39">
        <v>0</v>
      </c>
      <c r="I1156" s="39">
        <f t="shared" si="79"/>
        <v>0</v>
      </c>
      <c r="J1156" s="39">
        <f t="shared" si="80"/>
        <v>0</v>
      </c>
    </row>
    <row r="1157" spans="6:10" x14ac:dyDescent="0.2">
      <c r="F1157" s="47" t="s">
        <v>31</v>
      </c>
      <c r="G1157" s="47" t="s">
        <v>165</v>
      </c>
      <c r="H1157" s="39">
        <v>0</v>
      </c>
      <c r="I1157" s="39">
        <f t="shared" si="79"/>
        <v>0</v>
      </c>
      <c r="J1157" s="39">
        <f t="shared" si="80"/>
        <v>0</v>
      </c>
    </row>
    <row r="1158" spans="6:10" x14ac:dyDescent="0.2">
      <c r="F1158" s="47" t="s">
        <v>25</v>
      </c>
      <c r="G1158" s="47" t="s">
        <v>167</v>
      </c>
      <c r="H1158" s="39">
        <v>1.86</v>
      </c>
      <c r="I1158" s="39">
        <f t="shared" si="79"/>
        <v>9.300000000000001E-3</v>
      </c>
      <c r="J1158" s="39">
        <f t="shared" si="80"/>
        <v>0.18599999999999928</v>
      </c>
    </row>
    <row r="1159" spans="6:10" x14ac:dyDescent="0.2">
      <c r="F1159" s="47" t="s">
        <v>32</v>
      </c>
      <c r="G1159" s="47" t="s">
        <v>168</v>
      </c>
      <c r="H1159" s="39">
        <v>2.06</v>
      </c>
      <c r="I1159" s="39">
        <f t="shared" si="79"/>
        <v>1.03E-2</v>
      </c>
      <c r="J1159" s="39">
        <f t="shared" si="80"/>
        <v>0.20599999999999918</v>
      </c>
    </row>
    <row r="1160" spans="6:10" x14ac:dyDescent="0.2">
      <c r="F1160" s="47" t="s">
        <v>37</v>
      </c>
      <c r="G1160" s="47" t="s">
        <v>170</v>
      </c>
      <c r="H1160" s="39">
        <v>0</v>
      </c>
      <c r="I1160" s="39">
        <f t="shared" si="79"/>
        <v>0</v>
      </c>
      <c r="J1160" s="39">
        <f t="shared" si="80"/>
        <v>0</v>
      </c>
    </row>
    <row r="1161" spans="6:10" x14ac:dyDescent="0.2">
      <c r="F1161" s="47" t="s">
        <v>171</v>
      </c>
      <c r="G1161" s="47" t="s">
        <v>172</v>
      </c>
      <c r="H1161" s="39">
        <v>0</v>
      </c>
      <c r="I1161" s="39">
        <f t="shared" si="79"/>
        <v>0</v>
      </c>
      <c r="J1161" s="39">
        <f t="shared" si="80"/>
        <v>0</v>
      </c>
    </row>
    <row r="1162" spans="6:10" x14ac:dyDescent="0.2">
      <c r="F1162" s="47" t="s">
        <v>42</v>
      </c>
      <c r="G1162" s="47" t="s">
        <v>174</v>
      </c>
      <c r="H1162" s="39">
        <v>0</v>
      </c>
      <c r="I1162" s="39">
        <f t="shared" si="79"/>
        <v>0</v>
      </c>
      <c r="J1162" s="39">
        <f t="shared" si="80"/>
        <v>0</v>
      </c>
    </row>
    <row r="1163" spans="6:10" x14ac:dyDescent="0.2">
      <c r="F1163" s="67" t="s">
        <v>38</v>
      </c>
      <c r="G1163" s="37" t="s">
        <v>175</v>
      </c>
      <c r="H1163" s="39">
        <v>0</v>
      </c>
      <c r="I1163" s="39">
        <f t="shared" si="79"/>
        <v>0</v>
      </c>
      <c r="J1163" s="39">
        <f t="shared" si="80"/>
        <v>0</v>
      </c>
    </row>
    <row r="1164" spans="6:10" x14ac:dyDescent="0.2">
      <c r="F1164" s="47" t="s">
        <v>26</v>
      </c>
      <c r="G1164" s="47" t="s">
        <v>177</v>
      </c>
      <c r="H1164" s="39">
        <v>0</v>
      </c>
      <c r="I1164" s="39">
        <f t="shared" si="79"/>
        <v>0</v>
      </c>
      <c r="J1164" s="39">
        <f t="shared" si="80"/>
        <v>0</v>
      </c>
    </row>
    <row r="1165" spans="6:10" x14ac:dyDescent="0.2">
      <c r="F1165" s="47" t="s">
        <v>33</v>
      </c>
      <c r="G1165" s="47" t="s">
        <v>178</v>
      </c>
      <c r="H1165" s="39">
        <v>0</v>
      </c>
      <c r="I1165" s="39">
        <f t="shared" si="79"/>
        <v>0</v>
      </c>
      <c r="J1165" s="39">
        <f t="shared" si="80"/>
        <v>0</v>
      </c>
    </row>
    <row r="1166" spans="6:10" x14ac:dyDescent="0.2">
      <c r="F1166" s="47" t="s">
        <v>39</v>
      </c>
      <c r="G1166" s="47" t="s">
        <v>180</v>
      </c>
      <c r="H1166" s="39">
        <v>0</v>
      </c>
      <c r="I1166" s="39">
        <f t="shared" si="79"/>
        <v>0</v>
      </c>
      <c r="J1166" s="39">
        <f t="shared" si="80"/>
        <v>0</v>
      </c>
    </row>
    <row r="1167" spans="6:10" x14ac:dyDescent="0.2">
      <c r="F1167" s="47" t="s">
        <v>40</v>
      </c>
      <c r="G1167" s="47" t="s">
        <v>182</v>
      </c>
      <c r="H1167" s="39">
        <v>0</v>
      </c>
      <c r="I1167" s="39">
        <f t="shared" si="79"/>
        <v>0</v>
      </c>
      <c r="J1167" s="39">
        <f t="shared" si="80"/>
        <v>0</v>
      </c>
    </row>
    <row r="1168" spans="6:10" x14ac:dyDescent="0.2">
      <c r="F1168" s="67" t="s">
        <v>43</v>
      </c>
      <c r="G1168" s="47" t="s">
        <v>184</v>
      </c>
      <c r="H1168" s="39">
        <v>0</v>
      </c>
      <c r="I1168" s="39">
        <f t="shared" si="79"/>
        <v>0</v>
      </c>
      <c r="J1168" s="39">
        <f t="shared" si="80"/>
        <v>0</v>
      </c>
    </row>
    <row r="1169" spans="6:10" x14ac:dyDescent="0.2">
      <c r="F1169" s="68" t="s">
        <v>186</v>
      </c>
      <c r="G1169" s="68" t="s">
        <v>187</v>
      </c>
      <c r="H1169" s="83">
        <v>0</v>
      </c>
      <c r="I1169" s="39">
        <f t="shared" si="79"/>
        <v>0</v>
      </c>
      <c r="J1169" s="39">
        <f t="shared" si="80"/>
        <v>0</v>
      </c>
    </row>
    <row r="1170" spans="6:10" x14ac:dyDescent="0.2">
      <c r="F1170" s="47" t="s">
        <v>44</v>
      </c>
      <c r="G1170" s="47" t="s">
        <v>188</v>
      </c>
      <c r="H1170" s="39">
        <v>0</v>
      </c>
      <c r="I1170" s="39">
        <f t="shared" si="79"/>
        <v>0</v>
      </c>
      <c r="J1170" s="39">
        <f t="shared" si="80"/>
        <v>0</v>
      </c>
    </row>
    <row r="1171" spans="6:10" x14ac:dyDescent="0.2">
      <c r="F1171" s="68" t="s">
        <v>164</v>
      </c>
      <c r="G1171" s="68" t="s">
        <v>189</v>
      </c>
      <c r="H1171" s="83">
        <v>0</v>
      </c>
      <c r="I1171" s="39">
        <f t="shared" si="79"/>
        <v>0</v>
      </c>
      <c r="J1171" s="39">
        <f t="shared" si="80"/>
        <v>0</v>
      </c>
    </row>
    <row r="1172" spans="6:10" x14ac:dyDescent="0.2">
      <c r="F1172" s="47" t="s">
        <v>166</v>
      </c>
      <c r="G1172" s="47" t="s">
        <v>190</v>
      </c>
      <c r="H1172" s="39">
        <v>0</v>
      </c>
      <c r="I1172" s="39">
        <f t="shared" si="79"/>
        <v>0</v>
      </c>
      <c r="J1172" s="39">
        <f t="shared" si="80"/>
        <v>0</v>
      </c>
    </row>
    <row r="1173" spans="6:10" x14ac:dyDescent="0.2">
      <c r="F1173" s="47" t="s">
        <v>34</v>
      </c>
      <c r="G1173" s="47" t="s">
        <v>191</v>
      </c>
      <c r="H1173" s="39">
        <v>0</v>
      </c>
      <c r="I1173" s="39">
        <f t="shared" si="79"/>
        <v>0</v>
      </c>
      <c r="J1173" s="39">
        <f t="shared" si="80"/>
        <v>0</v>
      </c>
    </row>
    <row r="1174" spans="6:10" x14ac:dyDescent="0.2">
      <c r="F1174" s="47" t="s">
        <v>27</v>
      </c>
      <c r="G1174" s="47" t="s">
        <v>192</v>
      </c>
      <c r="H1174" s="39">
        <v>0</v>
      </c>
      <c r="I1174" s="39">
        <f t="shared" si="79"/>
        <v>0</v>
      </c>
      <c r="J1174" s="39">
        <f t="shared" si="80"/>
        <v>0</v>
      </c>
    </row>
    <row r="1175" spans="6:10" x14ac:dyDescent="0.2">
      <c r="F1175" s="47" t="s">
        <v>45</v>
      </c>
      <c r="G1175" s="47" t="s">
        <v>193</v>
      </c>
      <c r="H1175" s="39">
        <v>0</v>
      </c>
      <c r="I1175" s="39">
        <f t="shared" si="79"/>
        <v>0</v>
      </c>
      <c r="J1175" s="39">
        <f t="shared" si="80"/>
        <v>0</v>
      </c>
    </row>
    <row r="1176" spans="6:10" x14ac:dyDescent="0.2">
      <c r="F1176" s="47" t="s">
        <v>169</v>
      </c>
      <c r="G1176" s="47" t="s">
        <v>194</v>
      </c>
      <c r="H1176" s="39">
        <v>0</v>
      </c>
      <c r="I1176" s="39">
        <f t="shared" si="79"/>
        <v>0</v>
      </c>
      <c r="J1176" s="39">
        <f t="shared" si="80"/>
        <v>0</v>
      </c>
    </row>
    <row r="1177" spans="6:10" x14ac:dyDescent="0.2">
      <c r="F1177" s="47" t="s">
        <v>35</v>
      </c>
      <c r="G1177" s="47" t="s">
        <v>196</v>
      </c>
      <c r="H1177" s="39">
        <v>0</v>
      </c>
      <c r="I1177" s="39">
        <f t="shared" si="79"/>
        <v>0</v>
      </c>
      <c r="J1177" s="39">
        <f t="shared" si="80"/>
        <v>0</v>
      </c>
    </row>
    <row r="1178" spans="6:10" x14ac:dyDescent="0.2">
      <c r="H1178" s="39" t="s">
        <v>221</v>
      </c>
      <c r="I1178" s="39">
        <f>SUM(I1148:I1176)</f>
        <v>3.4600000000000006E-2</v>
      </c>
    </row>
  </sheetData>
  <mergeCells count="4">
    <mergeCell ref="Z1:AK1"/>
    <mergeCell ref="Z2:AC2"/>
    <mergeCell ref="AD2:AG2"/>
    <mergeCell ref="AH2:A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D.gigas</vt:lpstr>
      <vt:lpstr>X.gladius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</dc:creator>
  <cp:lastModifiedBy>Microsoft Office User</cp:lastModifiedBy>
  <dcterms:created xsi:type="dcterms:W3CDTF">2022-08-18T20:10:14Z</dcterms:created>
  <dcterms:modified xsi:type="dcterms:W3CDTF">2023-09-06T13:05:19Z</dcterms:modified>
</cp:coreProperties>
</file>