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3" activeTab="6"/>
  </bookViews>
  <sheets>
    <sheet name="Abrriviations" sheetId="7" r:id="rId1"/>
    <sheet name="S_Brontopodus-like" sheetId="1" r:id="rId2"/>
    <sheet name="T-theropod A" sheetId="3" r:id="rId3"/>
    <sheet name="T-theropod B" sheetId="4" r:id="rId4"/>
    <sheet name="T-large didactyls" sheetId="5" r:id="rId5"/>
    <sheet name="T-unclassified" sheetId="6" r:id="rId6"/>
    <sheet name="O-Caririchinium (new)" sheetId="8" r:id="rId7"/>
  </sheets>
  <externalReferences>
    <externalReference r:id="rId8"/>
  </externalReferences>
  <definedNames>
    <definedName name="_xlchart.v1.0" hidden="1">[1]尺寸分布!$A$1:$A$2</definedName>
    <definedName name="_xlchart.v1.1" hidden="1">[1]尺寸分布!$A$1:$A$65</definedName>
    <definedName name="_xlchart.v1.2" hidden="1">[1]尺寸分布!$A$33:$A$52</definedName>
    <definedName name="_xlchart.v1.3" hidden="1">[1]尺寸分布!$A$3:$A$32</definedName>
    <definedName name="_xlchart.v1.4" hidden="1">[1]尺寸分布!$A$53:$A$59</definedName>
    <definedName name="_xlchart.v1.5" hidden="1">[1]尺寸分布!$A$60:$A$65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<sst xmlns="http://schemas.openxmlformats.org/spreadsheetml/2006/main" count="2240" uniqueCount="399">
  <si>
    <t>L</t>
  </si>
  <si>
    <t>Track length</t>
  </si>
  <si>
    <t>W</t>
  </si>
  <si>
    <t>Track width</t>
  </si>
  <si>
    <t>L/W</t>
  </si>
  <si>
    <t>L/W ratio</t>
  </si>
  <si>
    <t>M</t>
  </si>
  <si>
    <t>Mesaxony (=AT, anterior triangle length/width ratio)</t>
  </si>
  <si>
    <t>M +claw</t>
  </si>
  <si>
    <t>Mesaxony with claw marks included (when the boundary of claw can be distinguished)</t>
  </si>
  <si>
    <t>II-III</t>
  </si>
  <si>
    <t>Divarication angle between digit II and III</t>
  </si>
  <si>
    <t>III-IV</t>
  </si>
  <si>
    <t>Divarication angle between digit III and IV</t>
  </si>
  <si>
    <t>II-IV</t>
  </si>
  <si>
    <t>Divarication angle between digit II and IV</t>
  </si>
  <si>
    <t>R</t>
  </si>
  <si>
    <t>Rotation angle (to the trackway orientation)</t>
  </si>
  <si>
    <t>PL</t>
  </si>
  <si>
    <t>Pace length</t>
  </si>
  <si>
    <t>SL</t>
  </si>
  <si>
    <t>Stride length</t>
  </si>
  <si>
    <t>PA</t>
  </si>
  <si>
    <t>Pace angulation</t>
  </si>
  <si>
    <t>A</t>
  </si>
  <si>
    <t>Area of the track</t>
  </si>
  <si>
    <t>H</t>
  </si>
  <si>
    <t>Heteropody (=the ratio of the manus/pes track area)</t>
  </si>
  <si>
    <t>WAP</t>
  </si>
  <si>
    <t>=Gauge width</t>
  </si>
  <si>
    <t>WAP/P’L</t>
  </si>
  <si>
    <t>=Relative gauge width</t>
  </si>
  <si>
    <t>LXIU</t>
  </si>
  <si>
    <t>WAP/P’ML</t>
  </si>
  <si>
    <t>TL*</t>
  </si>
  <si>
    <t>LXIU-S1-LP1</t>
  </si>
  <si>
    <t>56,3</t>
  </si>
  <si>
    <t>S1-RP1</t>
  </si>
  <si>
    <t>-</t>
  </si>
  <si>
    <t>—</t>
  </si>
  <si>
    <t>S1-LP2</t>
  </si>
  <si>
    <t>S1-RP3</t>
  </si>
  <si>
    <t>S1-LP4</t>
  </si>
  <si>
    <t>S1-RP4</t>
  </si>
  <si>
    <t>S1-LP5</t>
  </si>
  <si>
    <t>S1-RP5</t>
  </si>
  <si>
    <t>S1-LP6</t>
  </si>
  <si>
    <t>S1-RP6</t>
  </si>
  <si>
    <t>S1-LP7</t>
  </si>
  <si>
    <t>S1-RP7</t>
  </si>
  <si>
    <t>S1-LP8</t>
  </si>
  <si>
    <t>S1-RP8</t>
  </si>
  <si>
    <t>S1-LP9</t>
  </si>
  <si>
    <t>S1-RP9</t>
  </si>
  <si>
    <t>S1-LP10</t>
  </si>
  <si>
    <t>S1-RP10</t>
  </si>
  <si>
    <t>S1-LP11</t>
  </si>
  <si>
    <t>S1-RP11</t>
  </si>
  <si>
    <t>S1-LP12</t>
  </si>
  <si>
    <t>S1-RP12</t>
  </si>
  <si>
    <t>S1-LP13</t>
  </si>
  <si>
    <t>S1-RP13</t>
  </si>
  <si>
    <t>Mean-P</t>
  </si>
  <si>
    <r>
      <rPr>
        <sz val="11"/>
        <rFont val="宋体"/>
        <charset val="134"/>
      </rPr>
      <t>∣</t>
    </r>
    <r>
      <rPr>
        <sz val="11"/>
        <rFont val="Times New Roman"/>
        <charset val="134"/>
      </rPr>
      <t>26</t>
    </r>
    <r>
      <rPr>
        <sz val="11"/>
        <rFont val="宋体"/>
        <charset val="134"/>
      </rPr>
      <t>∣</t>
    </r>
  </si>
  <si>
    <t>S1-LM1</t>
  </si>
  <si>
    <t>S1-RM1</t>
  </si>
  <si>
    <t>S1-LM2</t>
  </si>
  <si>
    <t>S1-RM3</t>
  </si>
  <si>
    <t>S1-LM4</t>
  </si>
  <si>
    <t>S1-RM4</t>
  </si>
  <si>
    <t>S1-LM5</t>
  </si>
  <si>
    <t>S1-RM5</t>
  </si>
  <si>
    <t>S1-LM6</t>
  </si>
  <si>
    <t>S1-RM6</t>
  </si>
  <si>
    <t>S1-LM7</t>
  </si>
  <si>
    <t>S1-RM7</t>
  </si>
  <si>
    <t>S1-LM8</t>
  </si>
  <si>
    <t>S1-RM8</t>
  </si>
  <si>
    <t>S1-LM9</t>
  </si>
  <si>
    <t>S1-RM9</t>
  </si>
  <si>
    <t>S1-LM10</t>
  </si>
  <si>
    <t>S1-RM10</t>
  </si>
  <si>
    <t>S1-LM11</t>
  </si>
  <si>
    <t>S1-RM11</t>
  </si>
  <si>
    <t>S1-LM12</t>
  </si>
  <si>
    <t>S1-RM12</t>
  </si>
  <si>
    <t>S1-LM13</t>
  </si>
  <si>
    <t>S1-RM13</t>
  </si>
  <si>
    <t>Mean-M</t>
  </si>
  <si>
    <r>
      <rPr>
        <sz val="11"/>
        <rFont val="宋体"/>
        <charset val="134"/>
      </rPr>
      <t>∣</t>
    </r>
    <r>
      <rPr>
        <sz val="11"/>
        <rFont val="Times New Roman"/>
        <charset val="134"/>
      </rPr>
      <t>27</t>
    </r>
    <r>
      <rPr>
        <sz val="11"/>
        <rFont val="宋体"/>
        <charset val="134"/>
      </rPr>
      <t>∣</t>
    </r>
  </si>
  <si>
    <t>LXIN</t>
  </si>
  <si>
    <t>outer L</t>
  </si>
  <si>
    <t>outer W</t>
  </si>
  <si>
    <t>outer L/outer W</t>
  </si>
  <si>
    <t>outer A</t>
  </si>
  <si>
    <t>outer H</t>
  </si>
  <si>
    <t>outer MPL</t>
  </si>
  <si>
    <t>inner MPL</t>
  </si>
  <si>
    <t>LXIN-S1-RP1</t>
  </si>
  <si>
    <t>S1-LP1</t>
  </si>
  <si>
    <t>S1-RP2</t>
  </si>
  <si>
    <t>S1-LP3</t>
  </si>
  <si>
    <t>S1-RM2</t>
  </si>
  <si>
    <t>S1-LM3</t>
  </si>
  <si>
    <t>*TL = total length (pes + manus)</t>
  </si>
  <si>
    <t>LXIN-T1-L1</t>
  </si>
  <si>
    <t>LXIN-T1-R1</t>
  </si>
  <si>
    <t>LXIN-T1-L2</t>
  </si>
  <si>
    <t>Mean</t>
  </si>
  <si>
    <t>LXIN-T2-L1</t>
  </si>
  <si>
    <t>LXIN-T2-R1</t>
  </si>
  <si>
    <t>LXIN-T2-L2</t>
  </si>
  <si>
    <t>LXIN-T2-R2</t>
  </si>
  <si>
    <t>|15|</t>
  </si>
  <si>
    <t>LXIN-T3-L1</t>
  </si>
  <si>
    <t>LXIN-T3-R1</t>
  </si>
  <si>
    <t>LXIN-T3-L2</t>
  </si>
  <si>
    <t>|6|</t>
  </si>
  <si>
    <t>LXIN-T4-R1</t>
  </si>
  <si>
    <t>LXIN-T4-L1</t>
  </si>
  <si>
    <t>LXIN-T4-R2</t>
  </si>
  <si>
    <t>LXIN-T4-L2</t>
  </si>
  <si>
    <t>|11|</t>
  </si>
  <si>
    <t>LXIN-T5-R1</t>
  </si>
  <si>
    <t>LXIN-T5-L1</t>
  </si>
  <si>
    <t>LXIN-T5-R2</t>
  </si>
  <si>
    <t>LXIN-TI1</t>
  </si>
  <si>
    <t>LXIN-TI2</t>
  </si>
  <si>
    <t>LXIN-TI3</t>
  </si>
  <si>
    <t>LXIN-TI4</t>
  </si>
  <si>
    <t>LXIN-TI5</t>
  </si>
  <si>
    <t>LXIN-TI6</t>
  </si>
  <si>
    <t>LXIN-TI10</t>
  </si>
  <si>
    <t>LXIN-TI11</t>
  </si>
  <si>
    <t>LXIN-TI12</t>
  </si>
  <si>
    <t>LXIN-TI13</t>
  </si>
  <si>
    <t>LXIN-TI14</t>
  </si>
  <si>
    <t>LXIN-TI15</t>
  </si>
  <si>
    <t>LXIN-TI16</t>
  </si>
  <si>
    <t>LXID</t>
  </si>
  <si>
    <t>LXID-T3-R1</t>
  </si>
  <si>
    <t>LXID-T3-L1</t>
  </si>
  <si>
    <t>LXID-T3-R2</t>
  </si>
  <si>
    <t>W'</t>
  </si>
  <si>
    <t>L/W'</t>
  </si>
  <si>
    <t>LXID-TI1</t>
  </si>
  <si>
    <t>M with claw</t>
  </si>
  <si>
    <t>LXIU-TI7</t>
  </si>
  <si>
    <t>LXIII</t>
  </si>
  <si>
    <t>LXIII-TI1</t>
  </si>
  <si>
    <t>LXIII-TI2</t>
  </si>
  <si>
    <t>&gt;17.5</t>
  </si>
  <si>
    <t>LXIII-TI3</t>
  </si>
  <si>
    <t>LXIII-TI4</t>
  </si>
  <si>
    <t>Morphotype B</t>
  </si>
  <si>
    <t>LXIU-T2-R1</t>
  </si>
  <si>
    <t>LXIU-T2-L1</t>
  </si>
  <si>
    <t>LXIU-T2-R2</t>
  </si>
  <si>
    <t>LXIU-T2-L2</t>
  </si>
  <si>
    <t>LXIU-T2-R3</t>
  </si>
  <si>
    <t>LXIU-T2-L3</t>
  </si>
  <si>
    <t>LXIU-T2-R4</t>
  </si>
  <si>
    <t>|9|</t>
  </si>
  <si>
    <t>LXID-T1-L1</t>
  </si>
  <si>
    <t>LXID-T1-R1</t>
  </si>
  <si>
    <t>LXID-T1-L2</t>
  </si>
  <si>
    <t>LXID-T1-R2</t>
  </si>
  <si>
    <t>LXID-T1-L3</t>
  </si>
  <si>
    <t>LXID-T1-R3</t>
  </si>
  <si>
    <t>LXID-T1-L4</t>
  </si>
  <si>
    <t>LXID-T1-R4</t>
  </si>
  <si>
    <t>|28|</t>
  </si>
  <si>
    <t>W-max</t>
  </si>
  <si>
    <t>W-max w II</t>
  </si>
  <si>
    <t>II</t>
  </si>
  <si>
    <t>III</t>
  </si>
  <si>
    <t>IV</t>
  </si>
  <si>
    <t>LXID-T2-R1</t>
  </si>
  <si>
    <t>LXID-T2-L1</t>
  </si>
  <si>
    <t>LXID-T2-R2</t>
  </si>
  <si>
    <t>LXID-T2-L2</t>
  </si>
  <si>
    <t>|5|</t>
  </si>
  <si>
    <t>LXIU-TI0</t>
  </si>
  <si>
    <t>LXIU-TI1</t>
  </si>
  <si>
    <t>LXIU-TI5</t>
  </si>
  <si>
    <t>LXIU-TI8</t>
  </si>
  <si>
    <t>LXIU-TI9</t>
  </si>
  <si>
    <t>LXIU-TI10</t>
  </si>
  <si>
    <t>\</t>
  </si>
  <si>
    <t>LXID-O1-L1</t>
  </si>
  <si>
    <t>LXID-O1-R1</t>
  </si>
  <si>
    <t>LXID-O1-L2</t>
  </si>
  <si>
    <t>LXID-O1-R2</t>
  </si>
  <si>
    <t>LXID-O1-L3</t>
  </si>
  <si>
    <t>LXID-O1-R3</t>
  </si>
  <si>
    <t>LXID-O1-L5</t>
  </si>
  <si>
    <t>LXID-O1-R5</t>
  </si>
  <si>
    <t>|7|</t>
  </si>
  <si>
    <t>LXID-O2-R1</t>
  </si>
  <si>
    <t>LXID-O2-L1</t>
  </si>
  <si>
    <t>LXID-O2-R2</t>
  </si>
  <si>
    <t>LXID-O2-L2</t>
  </si>
  <si>
    <t>LXID-O2-R3</t>
  </si>
  <si>
    <t>LXID-O2-L3</t>
  </si>
  <si>
    <t>LXID-O2-R4</t>
  </si>
  <si>
    <t>LXID-O2-R5</t>
  </si>
  <si>
    <t>LXID-O2-R6</t>
  </si>
  <si>
    <t>LXID-O2-L6</t>
  </si>
  <si>
    <t>LXID-O2-R7</t>
  </si>
  <si>
    <t>LXID-O2-R9</t>
  </si>
  <si>
    <t>LXID-O2-R10</t>
  </si>
  <si>
    <t>LXID-O2-L10</t>
  </si>
  <si>
    <t>LXID-O2-R11</t>
  </si>
  <si>
    <t>|10|</t>
  </si>
  <si>
    <t>LXID-O2-R9m</t>
  </si>
  <si>
    <t>LXID-O2-R10m</t>
  </si>
  <si>
    <t>LXID-O3-L1</t>
  </si>
  <si>
    <t xml:space="preserve">   </t>
  </si>
  <si>
    <t>LXID-O3-R1</t>
  </si>
  <si>
    <t>LXID-O3-L2</t>
  </si>
  <si>
    <t>LXID-O3-R2</t>
  </si>
  <si>
    <t>LXID-O3-L3</t>
  </si>
  <si>
    <t>LXID-O3-R3</t>
  </si>
  <si>
    <t>LXID-O3-L4</t>
  </si>
  <si>
    <t>LXID-O3-R4</t>
  </si>
  <si>
    <t>LXID-O3-L5</t>
  </si>
  <si>
    <t>LXID-O3-R5</t>
  </si>
  <si>
    <t>LXID-O4-R0</t>
  </si>
  <si>
    <t>LXID-O4-R1</t>
  </si>
  <si>
    <t>LXID-O4-R2</t>
  </si>
  <si>
    <t>LXID-O4-L2</t>
  </si>
  <si>
    <t>LXID-O4-L3</t>
  </si>
  <si>
    <t>LXID-O4-L4</t>
  </si>
  <si>
    <t>LXID-O4-R5</t>
  </si>
  <si>
    <t>LXID-O4-L5</t>
  </si>
  <si>
    <t>LXID-O4-R6</t>
  </si>
  <si>
    <t>LXID-O4-L6</t>
  </si>
  <si>
    <t>LXID-O4-R7</t>
  </si>
  <si>
    <t>LXID-O4-L7</t>
  </si>
  <si>
    <t>LXID-O4-R8</t>
  </si>
  <si>
    <t>LXID-O4-L8</t>
  </si>
  <si>
    <t>|12|</t>
  </si>
  <si>
    <t>LXIU-O1-L1</t>
  </si>
  <si>
    <t>LXIU-O1-RI</t>
  </si>
  <si>
    <t>LXIU-O2-L1</t>
  </si>
  <si>
    <t>LXIU-O2-R1</t>
  </si>
  <si>
    <t>LXIU-O2-L1m</t>
  </si>
  <si>
    <t>LXIU-O3-L1</t>
  </si>
  <si>
    <t>LXIU-O3-R1</t>
  </si>
  <si>
    <t>LXIU-O3-L2</t>
  </si>
  <si>
    <t>LXIU-O3-R2</t>
  </si>
  <si>
    <t>LXIU-O3-L3</t>
  </si>
  <si>
    <t>LXIU-O3-R3</t>
  </si>
  <si>
    <t>LXIU-O3-L4</t>
  </si>
  <si>
    <t>LXIU-O3-R4</t>
  </si>
  <si>
    <t>LXIU-O3-L5</t>
  </si>
  <si>
    <t>LXIU-O4-L1</t>
  </si>
  <si>
    <t>LXIU-O4-R1</t>
  </si>
  <si>
    <t>LXIU-O4-L2</t>
  </si>
  <si>
    <t>LXIU-O4-R2</t>
  </si>
  <si>
    <t>LXIU-O4-R3</t>
  </si>
  <si>
    <t>|8|</t>
  </si>
  <si>
    <t>LXIU-O4-R3m</t>
  </si>
  <si>
    <t>LXIU-O5-L1</t>
  </si>
  <si>
    <t>LXIU-O5-R1</t>
  </si>
  <si>
    <t>LXIU-O5-L2</t>
  </si>
  <si>
    <t>LXIU-O5-R2</t>
  </si>
  <si>
    <t>LXIU-O5-L3</t>
  </si>
  <si>
    <t>LXIU-O5-R3</t>
  </si>
  <si>
    <t>LXIU-O5-L4</t>
  </si>
  <si>
    <t>LXIU-O5-R4</t>
  </si>
  <si>
    <t>LXIU-O5-L5</t>
  </si>
  <si>
    <t>LXIU-O6-L1</t>
  </si>
  <si>
    <t>LXIU-O6-R1</t>
  </si>
  <si>
    <t>LXIU-O6-L2</t>
  </si>
  <si>
    <t>LXIU-O6-R2</t>
  </si>
  <si>
    <t>LXIU-O6-L3</t>
  </si>
  <si>
    <t>LUIX-O7-L1</t>
  </si>
  <si>
    <t>LXIU-O7-R1</t>
  </si>
  <si>
    <t>LXIU-O7-L2</t>
  </si>
  <si>
    <t>LXIU-O7-R2</t>
  </si>
  <si>
    <t>LXIU-O7-L3</t>
  </si>
  <si>
    <t>LXIU-O7-R3</t>
  </si>
  <si>
    <t>LXIU-O7-L4</t>
  </si>
  <si>
    <t>LXIU-O7-R4</t>
  </si>
  <si>
    <t>LXIU-O7-L5</t>
  </si>
  <si>
    <t>LXIU-O7-R5</t>
  </si>
  <si>
    <t>LXIU-O7-L6</t>
  </si>
  <si>
    <t>LXIU-O7-R6</t>
  </si>
  <si>
    <t>LXIU-O7-L7</t>
  </si>
  <si>
    <t>LXIU-O7-R7</t>
  </si>
  <si>
    <t>LXIU-O7-L8</t>
  </si>
  <si>
    <t>LXIU-O7-R8</t>
  </si>
  <si>
    <t>LXIU-O7-L9</t>
  </si>
  <si>
    <t>LXIU-O7-R9</t>
  </si>
  <si>
    <t>LXIU-O7-L10</t>
  </si>
  <si>
    <t>LXIU-O7-R10</t>
  </si>
  <si>
    <t>LXIU-O7-L11</t>
  </si>
  <si>
    <t>LXIU-O7-R11</t>
  </si>
  <si>
    <t>LXIU-O7-L12</t>
  </si>
  <si>
    <t>LXIU-O7-R12</t>
  </si>
  <si>
    <t>LXIU-O7-L13</t>
  </si>
  <si>
    <t>LXIU-O7-R13</t>
  </si>
  <si>
    <t>LXIU-O7-L14</t>
  </si>
  <si>
    <t>LXIU-O7-R14</t>
  </si>
  <si>
    <t>LXIU-O7-L15</t>
  </si>
  <si>
    <t>LXIU-O7-R15</t>
  </si>
  <si>
    <t>LXIU-O7-L16</t>
  </si>
  <si>
    <t>LXIU-O7-L17</t>
  </si>
  <si>
    <t>LXIU-O7-R17</t>
  </si>
  <si>
    <t>LXIU-O7-L18</t>
  </si>
  <si>
    <t>LXIU-O7-R18</t>
  </si>
  <si>
    <t>LXIU-O7-L19</t>
  </si>
  <si>
    <t>LXIU-O7-R19</t>
  </si>
  <si>
    <t>LXIU-O7-L20</t>
  </si>
  <si>
    <t>LXIU-O7-R20</t>
  </si>
  <si>
    <t>LXIU-O7-L21</t>
  </si>
  <si>
    <t>LXIU-O7-R21</t>
  </si>
  <si>
    <t>LXIU-O7-L22</t>
  </si>
  <si>
    <t>LXIU-O7-R22</t>
  </si>
  <si>
    <t>LXIU-O8-R1</t>
  </si>
  <si>
    <t>LXIU-O8-L1</t>
  </si>
  <si>
    <t>LXIU-O8-R2</t>
  </si>
  <si>
    <t>LXIU-O8-L2</t>
  </si>
  <si>
    <t>LXIU-O8-R3</t>
  </si>
  <si>
    <t>LXIU-O8-L3</t>
  </si>
  <si>
    <t>LXIU-O8-R4</t>
  </si>
  <si>
    <t>LXIU-O8-L4</t>
  </si>
  <si>
    <t>LXIU-O8-R5</t>
  </si>
  <si>
    <t>LXIU-O8-L5</t>
  </si>
  <si>
    <t>LXIU-O8-R6</t>
  </si>
  <si>
    <t>LXIU-O8-L6</t>
  </si>
  <si>
    <t>LXIU-O8-R7</t>
  </si>
  <si>
    <t>LXIU-O8-L7</t>
  </si>
  <si>
    <t>LXIU-O8-R8</t>
  </si>
  <si>
    <t>LXIU-O8-L8</t>
  </si>
  <si>
    <t>|3|</t>
  </si>
  <si>
    <t>LXIU-O8-L1m</t>
  </si>
  <si>
    <t>LXIU-O9-R1</t>
  </si>
  <si>
    <t>LXIU-O9-L1</t>
  </si>
  <si>
    <t>LXIU-O9-R2</t>
  </si>
  <si>
    <t>LXIU-O9-L2</t>
  </si>
  <si>
    <t>LXIU-O10-R1</t>
  </si>
  <si>
    <t>LXIU-O10-L1</t>
  </si>
  <si>
    <t>LXIU-O10-R2</t>
  </si>
  <si>
    <t>LXIU-O10-L2</t>
  </si>
  <si>
    <t>LXIU-O10-R3</t>
  </si>
  <si>
    <t>LXIU-O10-L3</t>
  </si>
  <si>
    <t>LXIU-O10-R4</t>
  </si>
  <si>
    <t>LXIU-O10-L4</t>
  </si>
  <si>
    <t>LXIU-O10-R5</t>
  </si>
  <si>
    <t>LXIU-O10-L5</t>
  </si>
  <si>
    <t>LXIU-O10-R6</t>
  </si>
  <si>
    <t>LXIU-O10-L6</t>
  </si>
  <si>
    <t>LXIU-O10-R7</t>
  </si>
  <si>
    <t>LXIU-O10-L7</t>
  </si>
  <si>
    <t>LXIU-O10-R8</t>
  </si>
  <si>
    <t>LXIU-O10-L8</t>
  </si>
  <si>
    <t>LXIU-O10-R9</t>
  </si>
  <si>
    <t>LXIU-O10-L9</t>
  </si>
  <si>
    <t>LXIU-O10-R10</t>
  </si>
  <si>
    <t>LXIU-O10-L10</t>
  </si>
  <si>
    <t>LXIU-O11-R1</t>
  </si>
  <si>
    <t>LXIU-O11-L1</t>
  </si>
  <si>
    <t>LXIU-O11-R2</t>
  </si>
  <si>
    <t>LXIU-O11-L2</t>
  </si>
  <si>
    <t>LXIU-O11-R3</t>
  </si>
  <si>
    <t>LXIU-O11-L3</t>
  </si>
  <si>
    <t>LXIU-O11-R4</t>
  </si>
  <si>
    <t>LXIU-O11-L4</t>
  </si>
  <si>
    <t>LXIU-O11-R5</t>
  </si>
  <si>
    <t>LXIU-O11-L5</t>
  </si>
  <si>
    <t>LXIU-O11-R6</t>
  </si>
  <si>
    <t>LXIU-O11-L6</t>
  </si>
  <si>
    <t>LXIU-O11-R7</t>
  </si>
  <si>
    <t>LXIU-O11-L7</t>
  </si>
  <si>
    <t>LXIU-O11-R8</t>
  </si>
  <si>
    <t>LXIU-O11-L8</t>
  </si>
  <si>
    <t>LXIU-O11-R9</t>
  </si>
  <si>
    <t>LXIU-O11-L9</t>
  </si>
  <si>
    <t>LXIU-O11-R10</t>
  </si>
  <si>
    <t>LXIU-O11-L10</t>
  </si>
  <si>
    <t>LXIU-O11-R11</t>
  </si>
  <si>
    <t>LXIU-O12-L1</t>
  </si>
  <si>
    <t>LXIU-O12-R1</t>
  </si>
  <si>
    <t>LXIU-O12-L2</t>
  </si>
  <si>
    <t>LXIU-O13-L1</t>
  </si>
  <si>
    <t>LXIU-O13-R1</t>
  </si>
  <si>
    <t>LXIU-O13-L2</t>
  </si>
  <si>
    <t>LXIU-O13-R2</t>
  </si>
  <si>
    <t>LXIU-O13-L3</t>
  </si>
  <si>
    <t>LXIU-O13-R3</t>
  </si>
  <si>
    <t>LXIU-O13-L4</t>
  </si>
  <si>
    <t>LXIU-O13-R4</t>
  </si>
  <si>
    <t>LXIU-O13-L5</t>
  </si>
  <si>
    <t>|14|</t>
  </si>
  <si>
    <t>LXIE</t>
  </si>
  <si>
    <t>LXIE-O1-L1</t>
  </si>
  <si>
    <t>LXIE-O1-R1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</si>
</sst>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_ "/>
    <numFmt numFmtId="179" formatCode="0.0"/>
    <numFmt numFmtId="180" formatCode="0.00_ "/>
    <numFmt numFmtId="181" formatCode="0_ "/>
    <numFmt numFmtId="182" formatCode="0.00_);[Red]\(0.00\)"/>
    <numFmt numFmtId="183" formatCode="0.0_);\(0.0\)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4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2"/>
      <name val="Calibri"/>
      <charset val="134"/>
    </font>
    <font>
      <sz val="12"/>
      <name val="宋体"/>
      <charset val="134"/>
    </font>
    <font>
      <b/>
      <sz val="12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6" borderId="4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1" fontId="2" fillId="0" borderId="0" xfId="0" applyNumberFormat="1" applyFont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177" fontId="4" fillId="2" borderId="0" xfId="0" applyNumberFormat="1" applyFont="1" applyFill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horizontal="left" vertical="center"/>
    </xf>
    <xf numFmtId="182" fontId="2" fillId="0" borderId="0" xfId="0" applyNumberFormat="1" applyFont="1" applyAlignment="1">
      <alignment horizontal="left" vertical="center"/>
    </xf>
    <xf numFmtId="180" fontId="4" fillId="2" borderId="0" xfId="0" applyNumberFormat="1" applyFont="1" applyFill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81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80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80" fontId="1" fillId="0" borderId="0" xfId="0" applyNumberFormat="1" applyFont="1" applyAlignment="1">
      <alignment horizontal="left" vertical="center"/>
    </xf>
    <xf numFmtId="182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81" fontId="6" fillId="0" borderId="0" xfId="0" applyNumberFormat="1" applyFont="1" applyAlignment="1">
      <alignment horizontal="left" vertical="center"/>
    </xf>
    <xf numFmtId="181" fontId="5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80" fontId="6" fillId="0" borderId="0" xfId="0" applyNumberFormat="1" applyFont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81" fontId="3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178" fontId="3" fillId="0" borderId="0" xfId="0" applyNumberFormat="1" applyFont="1" applyFill="1" applyAlignment="1">
      <alignment horizontal="left" vertical="center"/>
    </xf>
    <xf numFmtId="181" fontId="3" fillId="0" borderId="0" xfId="0" applyNumberFormat="1" applyFont="1" applyFill="1" applyAlignment="1">
      <alignment horizontal="left" vertical="center"/>
    </xf>
    <xf numFmtId="180" fontId="3" fillId="0" borderId="0" xfId="0" applyNumberFormat="1" applyFont="1" applyFill="1" applyAlignment="1">
      <alignment horizontal="left" vertical="center"/>
    </xf>
    <xf numFmtId="179" fontId="1" fillId="0" borderId="0" xfId="0" applyNumberFormat="1" applyFont="1" applyFill="1" applyAlignment="1">
      <alignment horizontal="left" vertical="center"/>
    </xf>
    <xf numFmtId="180" fontId="1" fillId="0" borderId="0" xfId="0" applyNumberFormat="1" applyFont="1" applyFill="1" applyAlignment="1">
      <alignment horizontal="left" vertical="center"/>
    </xf>
    <xf numFmtId="181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181" fontId="4" fillId="0" borderId="0" xfId="0" applyNumberFormat="1" applyFont="1" applyAlignment="1">
      <alignment horizontal="left" vertical="center"/>
    </xf>
    <xf numFmtId="178" fontId="2" fillId="2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180" fontId="2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left" vertical="center"/>
    </xf>
    <xf numFmtId="181" fontId="4" fillId="0" borderId="0" xfId="0" applyNumberFormat="1" applyFont="1" applyFill="1" applyAlignment="1">
      <alignment horizontal="left" vertical="center"/>
    </xf>
    <xf numFmtId="176" fontId="4" fillId="3" borderId="0" xfId="0" applyNumberFormat="1" applyFont="1" applyFill="1" applyAlignment="1">
      <alignment horizontal="left" vertical="center"/>
    </xf>
    <xf numFmtId="178" fontId="4" fillId="3" borderId="0" xfId="0" applyNumberFormat="1" applyFont="1" applyFill="1" applyAlignment="1">
      <alignment horizontal="left" vertical="center"/>
    </xf>
    <xf numFmtId="181" fontId="4" fillId="3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179" fontId="7" fillId="0" borderId="0" xfId="0" applyNumberFormat="1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80" fontId="4" fillId="0" borderId="0" xfId="0" applyNumberFormat="1" applyFont="1" applyFill="1" applyAlignment="1">
      <alignment horizontal="left" vertical="center"/>
    </xf>
    <xf numFmtId="180" fontId="4" fillId="3" borderId="0" xfId="0" applyNumberFormat="1" applyFont="1" applyFill="1" applyAlignment="1">
      <alignment horizontal="left" vertical="center"/>
    </xf>
    <xf numFmtId="2" fontId="7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1" fontId="7" fillId="0" borderId="0" xfId="0" applyNumberFormat="1" applyFont="1" applyFill="1" applyAlignment="1">
      <alignment horizontal="left" vertical="center"/>
    </xf>
    <xf numFmtId="179" fontId="9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76" fontId="11" fillId="0" borderId="0" xfId="0" applyNumberFormat="1" applyFont="1" applyFill="1" applyAlignment="1">
      <alignment horizontal="left" vertical="center"/>
    </xf>
    <xf numFmtId="177" fontId="11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horizontal="left" vertical="center"/>
    </xf>
    <xf numFmtId="180" fontId="7" fillId="0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/>
    </xf>
    <xf numFmtId="181" fontId="7" fillId="2" borderId="0" xfId="0" applyNumberFormat="1" applyFont="1" applyFill="1" applyAlignment="1">
      <alignment horizontal="left" vertical="center"/>
    </xf>
    <xf numFmtId="180" fontId="7" fillId="2" borderId="0" xfId="0" applyNumberFormat="1" applyFont="1" applyFill="1" applyAlignment="1">
      <alignment horizontal="left" vertical="center"/>
    </xf>
    <xf numFmtId="177" fontId="3" fillId="0" borderId="0" xfId="0" applyNumberFormat="1" applyFont="1" applyFill="1" applyAlignment="1">
      <alignment horizontal="left" vertical="center"/>
    </xf>
    <xf numFmtId="178" fontId="1" fillId="0" borderId="0" xfId="0" applyNumberFormat="1" applyFont="1" applyFill="1" applyAlignment="1">
      <alignment horizontal="left" vertical="center"/>
    </xf>
    <xf numFmtId="181" fontId="1" fillId="0" borderId="0" xfId="0" applyNumberFormat="1" applyFont="1" applyFill="1" applyAlignment="1">
      <alignment horizontal="left" vertical="center"/>
    </xf>
    <xf numFmtId="179" fontId="2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81" fontId="2" fillId="2" borderId="0" xfId="0" applyNumberFormat="1" applyFont="1" applyFill="1" applyAlignment="1">
      <alignment horizontal="left" vertical="center"/>
    </xf>
    <xf numFmtId="177" fontId="2" fillId="2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183" fontId="2" fillId="0" borderId="0" xfId="0" applyNumberFormat="1" applyFont="1" applyFill="1" applyAlignment="1">
      <alignment horizontal="left" vertical="center"/>
    </xf>
    <xf numFmtId="178" fontId="12" fillId="0" borderId="0" xfId="0" applyNumberFormat="1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0334;&#24230;&#20113;\&#19978;&#26477;%20&#27979;&#37327;\&#26032;&#24314;&#25991;&#20214;&#22841;\&#25968;&#25454;%20&#24403;&#21069;&#29256;&#26412;\&#40479;&#33050;&#31867;+&#25955;&#28857;&#22270;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整理无公式"/>
      <sheetName val="尺寸分布"/>
      <sheetName val="散点图"/>
      <sheetName val="原始记录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zoomScale="70" zoomScaleNormal="70" workbookViewId="0">
      <selection activeCell="B14" sqref="B14"/>
    </sheetView>
  </sheetViews>
  <sheetFormatPr defaultColWidth="8.72727272727273" defaultRowHeight="14" outlineLevelCol="1"/>
  <cols>
    <col min="1" max="1" width="10" style="98" customWidth="1"/>
    <col min="2" max="2" width="27.0363636363636" style="98" customWidth="1"/>
    <col min="3" max="16384" width="8.72727272727273" style="98"/>
  </cols>
  <sheetData>
    <row r="1" spans="1:2">
      <c r="A1" s="58" t="s">
        <v>0</v>
      </c>
      <c r="B1" s="98" t="s">
        <v>1</v>
      </c>
    </row>
    <row r="2" spans="1:2">
      <c r="A2" s="58" t="s">
        <v>2</v>
      </c>
      <c r="B2" s="98" t="s">
        <v>3</v>
      </c>
    </row>
    <row r="3" spans="1:2">
      <c r="A3" s="58" t="s">
        <v>4</v>
      </c>
      <c r="B3" s="98" t="s">
        <v>5</v>
      </c>
    </row>
    <row r="4" spans="1:2">
      <c r="A4" s="42" t="s">
        <v>6</v>
      </c>
      <c r="B4" s="98" t="s">
        <v>7</v>
      </c>
    </row>
    <row r="5" spans="1:2">
      <c r="A5" s="42" t="s">
        <v>8</v>
      </c>
      <c r="B5" s="98" t="s">
        <v>9</v>
      </c>
    </row>
    <row r="6" spans="1:2">
      <c r="A6" s="42" t="s">
        <v>10</v>
      </c>
      <c r="B6" s="98" t="s">
        <v>11</v>
      </c>
    </row>
    <row r="7" spans="1:2">
      <c r="A7" s="42" t="s">
        <v>12</v>
      </c>
      <c r="B7" s="98" t="s">
        <v>13</v>
      </c>
    </row>
    <row r="8" spans="1:2">
      <c r="A8" s="42" t="s">
        <v>14</v>
      </c>
      <c r="B8" s="98" t="s">
        <v>15</v>
      </c>
    </row>
    <row r="9" spans="1:2">
      <c r="A9" s="59" t="s">
        <v>16</v>
      </c>
      <c r="B9" s="98" t="s">
        <v>17</v>
      </c>
    </row>
    <row r="10" spans="1:2">
      <c r="A10" s="58" t="s">
        <v>18</v>
      </c>
      <c r="B10" s="98" t="s">
        <v>19</v>
      </c>
    </row>
    <row r="11" spans="1:2">
      <c r="A11" s="58" t="s">
        <v>20</v>
      </c>
      <c r="B11" s="98" t="s">
        <v>21</v>
      </c>
    </row>
    <row r="12" spans="1:2">
      <c r="A12" s="59" t="s">
        <v>22</v>
      </c>
      <c r="B12" s="98" t="s">
        <v>23</v>
      </c>
    </row>
    <row r="13" spans="1:2">
      <c r="A13" s="58" t="s">
        <v>24</v>
      </c>
      <c r="B13" s="98" t="s">
        <v>25</v>
      </c>
    </row>
    <row r="14" spans="1:2">
      <c r="A14" s="58" t="s">
        <v>26</v>
      </c>
      <c r="B14" s="98" t="s">
        <v>27</v>
      </c>
    </row>
    <row r="15" spans="1:2">
      <c r="A15" s="58" t="s">
        <v>28</v>
      </c>
      <c r="B15" s="99" t="s">
        <v>29</v>
      </c>
    </row>
    <row r="16" spans="1:2">
      <c r="A16" s="58" t="s">
        <v>30</v>
      </c>
      <c r="B16" s="99" t="s">
        <v>31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9"/>
  <sheetViews>
    <sheetView zoomScale="60" zoomScaleNormal="60" workbookViewId="0">
      <selection activeCell="Q9" sqref="Q9"/>
    </sheetView>
  </sheetViews>
  <sheetFormatPr defaultColWidth="9.81818181818182" defaultRowHeight="14"/>
  <cols>
    <col min="1" max="1" width="13.6363636363636" style="48" customWidth="1"/>
    <col min="2" max="2" width="10.2727272727273" style="55" customWidth="1"/>
    <col min="3" max="3" width="9.45454545454546" style="55" customWidth="1"/>
    <col min="4" max="4" width="9.45454545454546" style="46" customWidth="1"/>
    <col min="5" max="7" width="9.45454545454546" style="55" customWidth="1"/>
    <col min="8" max="8" width="9.45454545454546" style="71" customWidth="1"/>
    <col min="9" max="10" width="9.45454545454546" style="55" customWidth="1"/>
    <col min="11" max="11" width="12.9090909090909" style="63" customWidth="1"/>
    <col min="12" max="12" width="9.45454545454546" style="63" customWidth="1"/>
    <col min="13" max="13" width="9.81818181818182" style="48" customWidth="1"/>
    <col min="14" max="14" width="9.81818181818182" style="48"/>
    <col min="15" max="15" width="8.18181818181818" style="48" customWidth="1"/>
    <col min="16" max="16" width="10.4545454545455" style="48" customWidth="1"/>
    <col min="17" max="19" width="9.81818181818182" style="48"/>
    <col min="20" max="20" width="14.0909090909091" style="48"/>
    <col min="21" max="16384" width="9.81818181818182" style="48"/>
  </cols>
  <sheetData>
    <row r="1" s="49" customFormat="1" spans="1:12">
      <c r="A1" s="49" t="s">
        <v>32</v>
      </c>
      <c r="B1" s="52"/>
      <c r="C1" s="52"/>
      <c r="D1" s="92"/>
      <c r="E1" s="52"/>
      <c r="F1" s="52"/>
      <c r="G1" s="52"/>
      <c r="H1" s="93"/>
      <c r="I1" s="52"/>
      <c r="J1" s="52"/>
      <c r="K1" s="97"/>
      <c r="L1" s="97"/>
    </row>
    <row r="2" spans="2:15">
      <c r="B2" s="58" t="s">
        <v>0</v>
      </c>
      <c r="C2" s="58" t="s">
        <v>2</v>
      </c>
      <c r="D2" s="59" t="s">
        <v>16</v>
      </c>
      <c r="E2" s="58" t="s">
        <v>4</v>
      </c>
      <c r="F2" s="58" t="s">
        <v>18</v>
      </c>
      <c r="G2" s="58" t="s">
        <v>20</v>
      </c>
      <c r="H2" s="94" t="s">
        <v>22</v>
      </c>
      <c r="I2" s="58" t="s">
        <v>24</v>
      </c>
      <c r="J2" s="58" t="s">
        <v>26</v>
      </c>
      <c r="K2" s="57" t="s">
        <v>28</v>
      </c>
      <c r="L2" s="57" t="s">
        <v>33</v>
      </c>
      <c r="M2" s="53" t="s">
        <v>34</v>
      </c>
      <c r="N2" s="71"/>
      <c r="O2" s="46"/>
    </row>
    <row r="3" spans="1:15">
      <c r="A3" s="48" t="s">
        <v>35</v>
      </c>
      <c r="B3" s="55">
        <v>45.8</v>
      </c>
      <c r="C3" s="55">
        <v>29.2</v>
      </c>
      <c r="D3" s="46">
        <v>16</v>
      </c>
      <c r="E3" s="55">
        <f t="shared" ref="E3:E26" si="0">B3/C3</f>
        <v>1.56849315068493</v>
      </c>
      <c r="F3" s="55">
        <v>88.3</v>
      </c>
      <c r="G3" s="55">
        <v>173.2</v>
      </c>
      <c r="H3" s="71">
        <f t="shared" ref="H3:H24" si="1">DEGREES(ACOS((F3^2+F4^2-G3^2)/(2*F3*F4)))</f>
        <v>134.8757352622</v>
      </c>
      <c r="I3" s="55">
        <v>1054.2</v>
      </c>
      <c r="J3" s="55">
        <f t="shared" ref="J3:J26" si="2">I3/I29</f>
        <v>6.57929226736566</v>
      </c>
      <c r="K3" s="55">
        <f t="shared" ref="K3:K24" si="3">SQRT((F4+F3+G3)/2*((F3+F4+G3)/2-F3)*((F3+F4+G3)/2-F4)*((F3+F4+G3)/2-G3))*2/G3</f>
        <v>35.8384617505526</v>
      </c>
      <c r="L3" s="63">
        <f t="shared" ref="L3:L8" si="4">K3/B3</f>
        <v>0.782499164859226</v>
      </c>
      <c r="M3" s="63" t="s">
        <v>36</v>
      </c>
      <c r="N3" s="71"/>
      <c r="O3" s="46"/>
    </row>
    <row r="4" spans="1:15">
      <c r="A4" s="48" t="s">
        <v>37</v>
      </c>
      <c r="B4" s="55">
        <v>47.7</v>
      </c>
      <c r="C4" s="55">
        <v>29.6</v>
      </c>
      <c r="D4" s="46" t="s">
        <v>38</v>
      </c>
      <c r="E4" s="55">
        <f t="shared" si="0"/>
        <v>1.61148648648649</v>
      </c>
      <c r="F4" s="55">
        <v>99.2</v>
      </c>
      <c r="G4" s="55" t="s">
        <v>39</v>
      </c>
      <c r="H4" s="55" t="s">
        <v>39</v>
      </c>
      <c r="I4" s="55">
        <v>1117</v>
      </c>
      <c r="J4" s="55">
        <f t="shared" si="2"/>
        <v>7.87729196050776</v>
      </c>
      <c r="K4" s="55" t="s">
        <v>39</v>
      </c>
      <c r="L4" s="55" t="s">
        <v>39</v>
      </c>
      <c r="M4" s="63">
        <v>60</v>
      </c>
      <c r="N4" s="71"/>
      <c r="O4" s="46"/>
    </row>
    <row r="5" spans="1:15">
      <c r="A5" s="48" t="s">
        <v>40</v>
      </c>
      <c r="B5" s="55">
        <v>43</v>
      </c>
      <c r="C5" s="55">
        <v>27.8</v>
      </c>
      <c r="D5" s="46" t="s">
        <v>38</v>
      </c>
      <c r="E5" s="55">
        <f t="shared" si="0"/>
        <v>1.54676258992806</v>
      </c>
      <c r="F5" s="55" t="s">
        <v>39</v>
      </c>
      <c r="G5" s="55" t="s">
        <v>39</v>
      </c>
      <c r="H5" s="55" t="s">
        <v>39</v>
      </c>
      <c r="I5" s="55">
        <v>1000.3</v>
      </c>
      <c r="J5" s="55">
        <f t="shared" si="2"/>
        <v>5.32074468085106</v>
      </c>
      <c r="K5" s="55" t="s">
        <v>39</v>
      </c>
      <c r="L5" s="55" t="s">
        <v>39</v>
      </c>
      <c r="M5" s="63">
        <v>54.5</v>
      </c>
      <c r="N5" s="71"/>
      <c r="O5" s="46"/>
    </row>
    <row r="6" spans="1:15">
      <c r="A6" s="48" t="s">
        <v>41</v>
      </c>
      <c r="B6" s="55">
        <v>37.4</v>
      </c>
      <c r="C6" s="55">
        <v>30</v>
      </c>
      <c r="D6" s="46">
        <v>22</v>
      </c>
      <c r="E6" s="55">
        <f t="shared" si="0"/>
        <v>1.24666666666667</v>
      </c>
      <c r="F6" s="55">
        <v>91.9</v>
      </c>
      <c r="G6" s="55">
        <v>153</v>
      </c>
      <c r="H6" s="71">
        <f t="shared" si="1"/>
        <v>120.357486433173</v>
      </c>
      <c r="I6" s="55">
        <v>955.5</v>
      </c>
      <c r="J6" s="55">
        <f t="shared" si="2"/>
        <v>3.65951742627346</v>
      </c>
      <c r="K6" s="55">
        <f t="shared" si="3"/>
        <v>43.7442942701094</v>
      </c>
      <c r="L6" s="63">
        <f t="shared" si="4"/>
        <v>1.16963353663394</v>
      </c>
      <c r="M6" s="63">
        <v>52</v>
      </c>
      <c r="N6" s="71"/>
      <c r="O6" s="46"/>
    </row>
    <row r="7" spans="1:15">
      <c r="A7" s="48" t="s">
        <v>42</v>
      </c>
      <c r="B7" s="55">
        <v>46.1</v>
      </c>
      <c r="C7" s="55">
        <v>29.3</v>
      </c>
      <c r="D7" s="46">
        <v>31</v>
      </c>
      <c r="E7" s="55">
        <f t="shared" si="0"/>
        <v>1.57337883959044</v>
      </c>
      <c r="F7" s="55">
        <v>84.4</v>
      </c>
      <c r="G7" s="55">
        <v>158.1</v>
      </c>
      <c r="H7" s="71">
        <f t="shared" si="1"/>
        <v>121.469692332983</v>
      </c>
      <c r="I7" s="55">
        <v>1090.8</v>
      </c>
      <c r="J7" s="55">
        <f t="shared" si="2"/>
        <v>13.2862362971985</v>
      </c>
      <c r="K7" s="55">
        <f t="shared" si="3"/>
        <v>44.0294774711449</v>
      </c>
      <c r="L7" s="63">
        <f t="shared" si="4"/>
        <v>0.95508627920054</v>
      </c>
      <c r="M7" s="63">
        <v>46.2</v>
      </c>
      <c r="N7" s="71"/>
      <c r="O7" s="46"/>
    </row>
    <row r="8" spans="1:15">
      <c r="A8" s="48" t="s">
        <v>43</v>
      </c>
      <c r="B8" s="55">
        <v>36</v>
      </c>
      <c r="C8" s="55">
        <v>28.4</v>
      </c>
      <c r="D8" s="46">
        <v>21</v>
      </c>
      <c r="E8" s="55">
        <f t="shared" si="0"/>
        <v>1.26760563380282</v>
      </c>
      <c r="F8" s="55">
        <v>96.7</v>
      </c>
      <c r="G8" s="55">
        <v>167.1</v>
      </c>
      <c r="H8" s="71">
        <f t="shared" si="1"/>
        <v>130.29986164663</v>
      </c>
      <c r="I8" s="55">
        <v>868.9</v>
      </c>
      <c r="J8" s="55">
        <f t="shared" si="2"/>
        <v>3.91572780531771</v>
      </c>
      <c r="K8" s="55">
        <f t="shared" si="3"/>
        <v>38.5743004290571</v>
      </c>
      <c r="L8" s="63">
        <f t="shared" si="4"/>
        <v>1.07150834525159</v>
      </c>
      <c r="M8" s="63">
        <v>46.4</v>
      </c>
      <c r="N8" s="71"/>
      <c r="O8" s="46"/>
    </row>
    <row r="9" spans="1:15">
      <c r="A9" s="48" t="s">
        <v>44</v>
      </c>
      <c r="B9" s="55">
        <v>44.7</v>
      </c>
      <c r="C9" s="55">
        <v>31.1</v>
      </c>
      <c r="D9" s="46">
        <v>33</v>
      </c>
      <c r="E9" s="55">
        <f t="shared" si="0"/>
        <v>1.43729903536977</v>
      </c>
      <c r="F9" s="55">
        <v>87.4</v>
      </c>
      <c r="G9" s="55">
        <v>142</v>
      </c>
      <c r="H9" s="71">
        <f t="shared" si="1"/>
        <v>121.386700455551</v>
      </c>
      <c r="I9" s="55">
        <v>1062.7</v>
      </c>
      <c r="J9" s="55">
        <f t="shared" si="2"/>
        <v>5.21186856302109</v>
      </c>
      <c r="K9" s="55">
        <f t="shared" si="3"/>
        <v>39.5647981759064</v>
      </c>
      <c r="L9" s="55" t="s">
        <v>39</v>
      </c>
      <c r="M9" s="63">
        <v>56.7</v>
      </c>
      <c r="N9" s="71"/>
      <c r="O9" s="46"/>
    </row>
    <row r="10" spans="1:15">
      <c r="A10" s="48" t="s">
        <v>45</v>
      </c>
      <c r="B10" s="55">
        <v>35.2</v>
      </c>
      <c r="C10" s="55">
        <v>24.9</v>
      </c>
      <c r="D10" s="46">
        <v>35</v>
      </c>
      <c r="E10" s="55">
        <f t="shared" si="0"/>
        <v>1.4136546184739</v>
      </c>
      <c r="F10" s="55">
        <v>75.3</v>
      </c>
      <c r="G10" s="55">
        <v>149.4</v>
      </c>
      <c r="H10" s="71">
        <f t="shared" si="1"/>
        <v>138.741359787861</v>
      </c>
      <c r="I10" s="55">
        <v>795</v>
      </c>
      <c r="J10" s="55">
        <f t="shared" si="2"/>
        <v>2.29172672239839</v>
      </c>
      <c r="K10" s="55">
        <f t="shared" si="3"/>
        <v>28.0194673424106</v>
      </c>
      <c r="L10" s="55" t="s">
        <v>39</v>
      </c>
      <c r="M10" s="63">
        <v>52.2</v>
      </c>
      <c r="N10" s="71"/>
      <c r="O10" s="46"/>
    </row>
    <row r="11" spans="1:15">
      <c r="A11" s="48" t="s">
        <v>46</v>
      </c>
      <c r="B11" s="55">
        <v>39.1</v>
      </c>
      <c r="C11" s="55">
        <v>31.6</v>
      </c>
      <c r="D11" s="46">
        <v>-4</v>
      </c>
      <c r="E11" s="55">
        <f t="shared" si="0"/>
        <v>1.2373417721519</v>
      </c>
      <c r="F11" s="55">
        <v>84.3</v>
      </c>
      <c r="G11" s="55">
        <v>166.4</v>
      </c>
      <c r="H11" s="71">
        <f t="shared" si="1"/>
        <v>142.133137493331</v>
      </c>
      <c r="I11" s="55">
        <v>961.8</v>
      </c>
      <c r="J11" s="55">
        <f t="shared" si="2"/>
        <v>12.2055837563452</v>
      </c>
      <c r="K11" s="55">
        <f t="shared" si="3"/>
        <v>28.4850465584088</v>
      </c>
      <c r="L11" s="63">
        <f t="shared" ref="L11:L24" si="5">K11/B11</f>
        <v>0.728517814793065</v>
      </c>
      <c r="M11" s="63">
        <v>44.6</v>
      </c>
      <c r="N11" s="71"/>
      <c r="O11" s="46"/>
    </row>
    <row r="12" spans="1:15">
      <c r="A12" s="48" t="s">
        <v>47</v>
      </c>
      <c r="B12" s="55">
        <v>42.3</v>
      </c>
      <c r="C12" s="55">
        <v>27.7</v>
      </c>
      <c r="D12" s="46">
        <v>0</v>
      </c>
      <c r="E12" s="55">
        <f t="shared" si="0"/>
        <v>1.52707581227437</v>
      </c>
      <c r="F12" s="55">
        <v>91.6</v>
      </c>
      <c r="G12" s="55">
        <v>154.6</v>
      </c>
      <c r="H12" s="71">
        <f t="shared" si="1"/>
        <v>127.490401421671</v>
      </c>
      <c r="I12" s="55">
        <v>970.1</v>
      </c>
      <c r="J12" s="55">
        <f t="shared" si="2"/>
        <v>2.46970468431772</v>
      </c>
      <c r="K12" s="55">
        <f t="shared" si="3"/>
        <v>37.9386603389528</v>
      </c>
      <c r="L12" s="63">
        <f t="shared" si="5"/>
        <v>0.896895043474062</v>
      </c>
      <c r="M12" s="63">
        <v>57.8</v>
      </c>
      <c r="N12" s="71"/>
      <c r="O12" s="46"/>
    </row>
    <row r="13" spans="1:15">
      <c r="A13" s="48" t="s">
        <v>48</v>
      </c>
      <c r="B13" s="55">
        <v>38.5</v>
      </c>
      <c r="C13" s="55">
        <v>36.3</v>
      </c>
      <c r="D13" s="46">
        <v>-4</v>
      </c>
      <c r="E13" s="55">
        <f t="shared" si="0"/>
        <v>1.06060606060606</v>
      </c>
      <c r="F13" s="55">
        <v>80.7</v>
      </c>
      <c r="G13" s="55">
        <v>166.8</v>
      </c>
      <c r="H13" s="71">
        <f t="shared" si="1"/>
        <v>129.101435799821</v>
      </c>
      <c r="I13" s="55">
        <v>1120.4</v>
      </c>
      <c r="J13" s="55">
        <f t="shared" si="2"/>
        <v>4.7982869379015</v>
      </c>
      <c r="K13" s="55">
        <f t="shared" si="3"/>
        <v>38.9345440006373</v>
      </c>
      <c r="L13" s="63">
        <f t="shared" si="5"/>
        <v>1.01128685715941</v>
      </c>
      <c r="M13" s="63">
        <v>49.4</v>
      </c>
      <c r="N13" s="71"/>
      <c r="O13" s="46"/>
    </row>
    <row r="14" spans="1:15">
      <c r="A14" s="48" t="s">
        <v>49</v>
      </c>
      <c r="B14" s="55">
        <v>39.5</v>
      </c>
      <c r="C14" s="55">
        <v>34.5</v>
      </c>
      <c r="D14" s="46">
        <v>12</v>
      </c>
      <c r="E14" s="55">
        <f t="shared" si="0"/>
        <v>1.14492753623188</v>
      </c>
      <c r="F14" s="55">
        <v>103.7</v>
      </c>
      <c r="G14" s="55">
        <v>183.6</v>
      </c>
      <c r="H14" s="71">
        <f t="shared" si="1"/>
        <v>137.72719995034</v>
      </c>
      <c r="I14" s="55">
        <v>1118.8</v>
      </c>
      <c r="J14" s="55">
        <f t="shared" si="2"/>
        <v>3.78740690589032</v>
      </c>
      <c r="K14" s="55">
        <f t="shared" si="3"/>
        <v>35.3713969072164</v>
      </c>
      <c r="L14" s="63">
        <f t="shared" si="5"/>
        <v>0.89547840271434</v>
      </c>
      <c r="M14" s="63">
        <v>54.5</v>
      </c>
      <c r="N14" s="71"/>
      <c r="O14" s="46"/>
    </row>
    <row r="15" spans="1:15">
      <c r="A15" s="48" t="s">
        <v>50</v>
      </c>
      <c r="B15" s="55">
        <v>41.8</v>
      </c>
      <c r="C15" s="55">
        <v>40.4</v>
      </c>
      <c r="D15" s="46">
        <v>21</v>
      </c>
      <c r="E15" s="55">
        <f t="shared" si="0"/>
        <v>1.03465346534653</v>
      </c>
      <c r="F15" s="55">
        <v>93.1</v>
      </c>
      <c r="G15" s="55">
        <v>152</v>
      </c>
      <c r="H15" s="71">
        <f t="shared" si="1"/>
        <v>127.058982046784</v>
      </c>
      <c r="I15" s="55">
        <v>1284.9</v>
      </c>
      <c r="J15" s="55">
        <f t="shared" si="2"/>
        <v>2.31973280375519</v>
      </c>
      <c r="K15" s="55">
        <f t="shared" si="3"/>
        <v>37.3920165831575</v>
      </c>
      <c r="L15" s="63">
        <f t="shared" si="5"/>
        <v>0.894545851271711</v>
      </c>
      <c r="M15" s="63">
        <v>63</v>
      </c>
      <c r="N15" s="71"/>
      <c r="O15" s="46"/>
    </row>
    <row r="16" spans="1:15">
      <c r="A16" s="48" t="s">
        <v>51</v>
      </c>
      <c r="B16" s="55">
        <v>48.3</v>
      </c>
      <c r="C16" s="55">
        <v>36</v>
      </c>
      <c r="D16" s="46">
        <v>38</v>
      </c>
      <c r="E16" s="55">
        <f t="shared" si="0"/>
        <v>1.34166666666667</v>
      </c>
      <c r="F16" s="55">
        <v>76.5</v>
      </c>
      <c r="G16" s="55">
        <v>146.3</v>
      </c>
      <c r="H16" s="71">
        <f t="shared" si="1"/>
        <v>135.422077688703</v>
      </c>
      <c r="I16" s="55">
        <v>1022.3</v>
      </c>
      <c r="J16" s="55">
        <f t="shared" si="2"/>
        <v>2.30403425738111</v>
      </c>
      <c r="K16" s="55">
        <f t="shared" si="3"/>
        <v>29.9481011886637</v>
      </c>
      <c r="L16" s="63">
        <f t="shared" si="5"/>
        <v>0.620043502870884</v>
      </c>
      <c r="M16" s="63">
        <v>58.3</v>
      </c>
      <c r="N16" s="71"/>
      <c r="O16" s="46"/>
    </row>
    <row r="17" spans="1:25">
      <c r="A17" s="48" t="s">
        <v>52</v>
      </c>
      <c r="B17" s="55">
        <v>33.6</v>
      </c>
      <c r="C17" s="55">
        <v>31.2</v>
      </c>
      <c r="D17" s="46">
        <v>16</v>
      </c>
      <c r="E17" s="55">
        <f t="shared" si="0"/>
        <v>1.07692307692308</v>
      </c>
      <c r="F17" s="95">
        <v>81.6</v>
      </c>
      <c r="G17" s="55">
        <v>132.5</v>
      </c>
      <c r="H17" s="71">
        <f t="shared" si="1"/>
        <v>102.253716186334</v>
      </c>
      <c r="I17" s="55">
        <v>869.7</v>
      </c>
      <c r="J17" s="55">
        <f t="shared" si="2"/>
        <v>3.07640608418819</v>
      </c>
      <c r="K17" s="55">
        <f t="shared" si="3"/>
        <v>53.2609265021514</v>
      </c>
      <c r="L17" s="63">
        <f t="shared" si="5"/>
        <v>1.58514662208784</v>
      </c>
      <c r="M17" s="63">
        <v>48.3</v>
      </c>
      <c r="O17" s="58"/>
      <c r="P17" s="58"/>
      <c r="Q17" s="59"/>
      <c r="R17" s="58"/>
      <c r="S17" s="58"/>
      <c r="T17" s="58"/>
      <c r="U17" s="94"/>
      <c r="V17" s="58"/>
      <c r="W17" s="58"/>
      <c r="X17" s="57"/>
      <c r="Y17" s="57"/>
    </row>
    <row r="18" spans="1:25">
      <c r="A18" s="48" t="s">
        <v>53</v>
      </c>
      <c r="B18" s="55">
        <v>39</v>
      </c>
      <c r="C18" s="55">
        <v>35.2</v>
      </c>
      <c r="D18" s="46">
        <v>45</v>
      </c>
      <c r="E18" s="55">
        <f t="shared" si="0"/>
        <v>1.10795454545455</v>
      </c>
      <c r="F18" s="55">
        <v>88.5</v>
      </c>
      <c r="G18" s="55">
        <v>165.2</v>
      </c>
      <c r="H18" s="71">
        <f t="shared" si="1"/>
        <v>129.543043237596</v>
      </c>
      <c r="I18" s="55">
        <v>1134.9</v>
      </c>
      <c r="J18" s="55">
        <f t="shared" si="2"/>
        <v>1.62849763237193</v>
      </c>
      <c r="K18" s="55">
        <f t="shared" si="3"/>
        <v>38.8740466065611</v>
      </c>
      <c r="L18" s="63">
        <f t="shared" si="5"/>
        <v>0.99677042580926</v>
      </c>
      <c r="M18" s="63">
        <v>56.2</v>
      </c>
      <c r="N18" s="48"/>
      <c r="O18" s="55"/>
      <c r="P18" s="55"/>
      <c r="Q18" s="46"/>
      <c r="R18" s="55"/>
      <c r="S18" s="55"/>
      <c r="T18" s="55"/>
      <c r="U18" s="71"/>
      <c r="V18" s="55"/>
      <c r="W18" s="55"/>
      <c r="X18" s="63"/>
      <c r="Y18" s="63"/>
    </row>
    <row r="19" spans="1:25">
      <c r="A19" s="48" t="s">
        <v>54</v>
      </c>
      <c r="B19" s="55">
        <v>34</v>
      </c>
      <c r="C19" s="55">
        <v>38.3</v>
      </c>
      <c r="D19" s="46">
        <v>21</v>
      </c>
      <c r="E19" s="55">
        <f t="shared" si="0"/>
        <v>0.887728459530026</v>
      </c>
      <c r="F19" s="55">
        <v>94.1</v>
      </c>
      <c r="G19" s="55">
        <v>160.5</v>
      </c>
      <c r="H19" s="71">
        <f t="shared" si="1"/>
        <v>110.82656629092</v>
      </c>
      <c r="I19" s="55">
        <v>901.6</v>
      </c>
      <c r="J19" s="55">
        <f t="shared" si="2"/>
        <v>2.93680781758958</v>
      </c>
      <c r="K19" s="55">
        <f t="shared" si="3"/>
        <v>55.2368882659801</v>
      </c>
      <c r="L19" s="63">
        <f t="shared" si="5"/>
        <v>1.62461436076412</v>
      </c>
      <c r="M19" s="63">
        <v>50.2</v>
      </c>
      <c r="N19" s="48"/>
      <c r="O19" s="55"/>
      <c r="P19" s="55"/>
      <c r="Q19" s="46"/>
      <c r="R19" s="55"/>
      <c r="S19" s="55"/>
      <c r="T19" s="55"/>
      <c r="U19" s="71"/>
      <c r="V19" s="55"/>
      <c r="W19" s="55"/>
      <c r="X19" s="63"/>
      <c r="Y19" s="63"/>
    </row>
    <row r="20" spans="1:25">
      <c r="A20" s="48" t="s">
        <v>55</v>
      </c>
      <c r="B20" s="55">
        <v>37.4</v>
      </c>
      <c r="C20" s="55">
        <v>35.6</v>
      </c>
      <c r="D20" s="46">
        <v>37</v>
      </c>
      <c r="E20" s="55">
        <f t="shared" si="0"/>
        <v>1.05056179775281</v>
      </c>
      <c r="F20" s="55">
        <v>100.8</v>
      </c>
      <c r="G20" s="55">
        <v>169.6</v>
      </c>
      <c r="H20" s="71">
        <f t="shared" si="1"/>
        <v>132.851060287759</v>
      </c>
      <c r="I20" s="55">
        <v>1099.5</v>
      </c>
      <c r="J20" s="55">
        <f t="shared" si="2"/>
        <v>1.59741391834956</v>
      </c>
      <c r="K20" s="55">
        <f t="shared" si="3"/>
        <v>36.6444461209109</v>
      </c>
      <c r="L20" s="63">
        <f t="shared" si="5"/>
        <v>0.979798024623287</v>
      </c>
      <c r="M20" s="63">
        <v>60.1</v>
      </c>
      <c r="N20" s="48"/>
      <c r="O20" s="55"/>
      <c r="P20" s="55"/>
      <c r="Q20" s="46"/>
      <c r="R20" s="55"/>
      <c r="S20" s="55"/>
      <c r="T20" s="55"/>
      <c r="U20" s="71"/>
      <c r="V20" s="55"/>
      <c r="W20" s="55"/>
      <c r="X20" s="63"/>
      <c r="Y20" s="63"/>
    </row>
    <row r="21" spans="1:25">
      <c r="A21" s="48" t="s">
        <v>56</v>
      </c>
      <c r="B21" s="55">
        <v>41.6</v>
      </c>
      <c r="C21" s="55">
        <v>31</v>
      </c>
      <c r="D21" s="46">
        <v>29</v>
      </c>
      <c r="E21" s="55">
        <f t="shared" si="0"/>
        <v>1.34193548387097</v>
      </c>
      <c r="F21" s="55">
        <v>84.1</v>
      </c>
      <c r="G21" s="55">
        <v>156.4</v>
      </c>
      <c r="H21" s="71">
        <f t="shared" si="1"/>
        <v>107.392657951275</v>
      </c>
      <c r="I21" s="55">
        <v>1134.2</v>
      </c>
      <c r="J21" s="55">
        <f t="shared" si="2"/>
        <v>2.79566181907814</v>
      </c>
      <c r="K21" s="55">
        <f t="shared" si="3"/>
        <v>55.9833910120149</v>
      </c>
      <c r="L21" s="63">
        <f t="shared" si="5"/>
        <v>1.34575459163497</v>
      </c>
      <c r="M21" s="63">
        <v>60.4</v>
      </c>
      <c r="N21" s="48"/>
      <c r="O21" s="55"/>
      <c r="P21" s="55"/>
      <c r="Q21" s="46"/>
      <c r="R21" s="55"/>
      <c r="S21" s="55"/>
      <c r="T21" s="55"/>
      <c r="U21" s="71"/>
      <c r="V21" s="55"/>
      <c r="W21" s="55"/>
      <c r="X21" s="63"/>
      <c r="Y21" s="63"/>
    </row>
    <row r="22" spans="1:25">
      <c r="A22" s="48" t="s">
        <v>57</v>
      </c>
      <c r="B22" s="55">
        <v>42.5</v>
      </c>
      <c r="C22" s="55">
        <v>38.7</v>
      </c>
      <c r="D22" s="46">
        <v>31</v>
      </c>
      <c r="E22" s="55">
        <f t="shared" si="0"/>
        <v>1.09819121447028</v>
      </c>
      <c r="F22" s="55">
        <v>109.1</v>
      </c>
      <c r="G22" s="55">
        <v>184.5</v>
      </c>
      <c r="H22" s="71">
        <f t="shared" si="1"/>
        <v>139.487146584169</v>
      </c>
      <c r="I22" s="55">
        <v>1075.4</v>
      </c>
      <c r="J22" s="55">
        <f t="shared" si="2"/>
        <v>2.45189238486092</v>
      </c>
      <c r="K22" s="55">
        <f t="shared" si="3"/>
        <v>33.573628105959</v>
      </c>
      <c r="L22" s="63">
        <f t="shared" si="5"/>
        <v>0.789967720140211</v>
      </c>
      <c r="M22" s="63">
        <v>59.2</v>
      </c>
      <c r="N22" s="48"/>
      <c r="O22" s="55"/>
      <c r="P22" s="55"/>
      <c r="Q22" s="46"/>
      <c r="R22" s="55"/>
      <c r="S22" s="55"/>
      <c r="T22" s="55"/>
      <c r="U22" s="71"/>
      <c r="V22" s="55"/>
      <c r="W22" s="55"/>
      <c r="X22" s="63"/>
      <c r="Y22" s="63"/>
    </row>
    <row r="23" spans="1:25">
      <c r="A23" s="48" t="s">
        <v>58</v>
      </c>
      <c r="B23" s="55">
        <v>36.4</v>
      </c>
      <c r="C23" s="55">
        <v>34.7</v>
      </c>
      <c r="D23" s="46">
        <v>38</v>
      </c>
      <c r="E23" s="55">
        <f t="shared" si="0"/>
        <v>1.04899135446686</v>
      </c>
      <c r="F23" s="55">
        <v>87.4</v>
      </c>
      <c r="G23" s="55">
        <v>178.2</v>
      </c>
      <c r="H23" s="71">
        <f t="shared" si="1"/>
        <v>138.126973130542</v>
      </c>
      <c r="I23" s="55">
        <v>1208.1</v>
      </c>
      <c r="J23" s="55">
        <f t="shared" si="2"/>
        <v>1.63632669646485</v>
      </c>
      <c r="K23" s="55">
        <f t="shared" si="3"/>
        <v>33.8176687911839</v>
      </c>
      <c r="L23" s="63">
        <f t="shared" si="5"/>
        <v>0.929056834922634</v>
      </c>
      <c r="M23" s="63">
        <v>63.31</v>
      </c>
      <c r="N23" s="48"/>
      <c r="O23" s="55"/>
      <c r="P23" s="55"/>
      <c r="Q23" s="46"/>
      <c r="R23" s="55"/>
      <c r="S23" s="55"/>
      <c r="T23" s="55"/>
      <c r="U23" s="71"/>
      <c r="V23" s="55"/>
      <c r="W23" s="55"/>
      <c r="X23" s="63"/>
      <c r="Y23" s="63"/>
    </row>
    <row r="24" spans="1:25">
      <c r="A24" s="48" t="s">
        <v>59</v>
      </c>
      <c r="B24" s="55">
        <v>34.5</v>
      </c>
      <c r="C24" s="55">
        <v>39.6</v>
      </c>
      <c r="D24" s="46">
        <v>-15</v>
      </c>
      <c r="E24" s="55">
        <f t="shared" si="0"/>
        <v>0.871212121212121</v>
      </c>
      <c r="F24" s="55">
        <v>103.3</v>
      </c>
      <c r="G24" s="55">
        <v>180.4</v>
      </c>
      <c r="H24" s="71">
        <f t="shared" si="1"/>
        <v>119.71966919106</v>
      </c>
      <c r="I24" s="55">
        <v>1115.4</v>
      </c>
      <c r="J24" s="55">
        <f t="shared" si="2"/>
        <v>2.17130620985011</v>
      </c>
      <c r="K24" s="55">
        <f t="shared" si="3"/>
        <v>52.365188109072</v>
      </c>
      <c r="L24" s="63">
        <f t="shared" si="5"/>
        <v>1.51783153939339</v>
      </c>
      <c r="M24" s="63">
        <v>55.1</v>
      </c>
      <c r="N24" s="48"/>
      <c r="O24" s="55"/>
      <c r="P24" s="55"/>
      <c r="Q24" s="46"/>
      <c r="R24" s="55"/>
      <c r="S24" s="55"/>
      <c r="T24" s="55"/>
      <c r="U24" s="71"/>
      <c r="V24" s="55"/>
      <c r="W24" s="55"/>
      <c r="X24" s="63"/>
      <c r="Y24" s="63"/>
    </row>
    <row r="25" spans="1:25">
      <c r="A25" s="48" t="s">
        <v>60</v>
      </c>
      <c r="B25" s="55">
        <v>38.7</v>
      </c>
      <c r="C25" s="55">
        <v>37.8</v>
      </c>
      <c r="D25" s="46">
        <v>69</v>
      </c>
      <c r="E25" s="55">
        <f t="shared" si="0"/>
        <v>1.02380952380952</v>
      </c>
      <c r="F25" s="55">
        <v>105.3</v>
      </c>
      <c r="G25" s="55" t="s">
        <v>39</v>
      </c>
      <c r="H25" s="55" t="s">
        <v>39</v>
      </c>
      <c r="I25" s="55">
        <v>1281.7</v>
      </c>
      <c r="J25" s="55">
        <f t="shared" si="2"/>
        <v>1.67498693152117</v>
      </c>
      <c r="K25" s="55" t="s">
        <v>39</v>
      </c>
      <c r="L25" s="55" t="s">
        <v>39</v>
      </c>
      <c r="M25" s="63">
        <v>61.3</v>
      </c>
      <c r="N25" s="48"/>
      <c r="O25" s="55"/>
      <c r="P25" s="55"/>
      <c r="Q25" s="46"/>
      <c r="R25" s="55"/>
      <c r="S25" s="55"/>
      <c r="T25" s="55"/>
      <c r="U25" s="71"/>
      <c r="V25" s="55"/>
      <c r="W25" s="55"/>
      <c r="X25" s="63"/>
      <c r="Y25" s="63"/>
    </row>
    <row r="26" spans="1:25">
      <c r="A26" s="48" t="s">
        <v>61</v>
      </c>
      <c r="B26" s="55">
        <v>55.5</v>
      </c>
      <c r="C26" s="55">
        <v>38.3</v>
      </c>
      <c r="D26" s="55" t="s">
        <v>39</v>
      </c>
      <c r="E26" s="55">
        <f t="shared" si="0"/>
        <v>1.4490861618799</v>
      </c>
      <c r="F26" s="55" t="s">
        <v>39</v>
      </c>
      <c r="G26" s="55" t="s">
        <v>39</v>
      </c>
      <c r="H26" s="55" t="s">
        <v>39</v>
      </c>
      <c r="I26" s="55">
        <v>1670.1</v>
      </c>
      <c r="J26" s="55">
        <f t="shared" si="2"/>
        <v>9.67612977983777</v>
      </c>
      <c r="K26" s="55" t="s">
        <v>39</v>
      </c>
      <c r="L26" s="55" t="s">
        <v>39</v>
      </c>
      <c r="M26" s="63">
        <v>63.9</v>
      </c>
      <c r="O26" s="55"/>
      <c r="P26" s="55"/>
      <c r="Q26" s="46"/>
      <c r="R26" s="55"/>
      <c r="S26" s="55"/>
      <c r="T26" s="55"/>
      <c r="U26" s="71"/>
      <c r="V26" s="55"/>
      <c r="W26" s="55"/>
      <c r="X26" s="63"/>
      <c r="Y26" s="63"/>
    </row>
    <row r="27" spans="1:25">
      <c r="A27" s="48" t="s">
        <v>62</v>
      </c>
      <c r="B27" s="55">
        <f t="shared" ref="B27:M27" si="6">AVERAGE(B3:B26)</f>
        <v>40.775</v>
      </c>
      <c r="C27" s="55">
        <f t="shared" si="6"/>
        <v>33.2166666666667</v>
      </c>
      <c r="D27" s="96" t="s">
        <v>63</v>
      </c>
      <c r="E27" s="55">
        <f t="shared" si="6"/>
        <v>1.24866716973544</v>
      </c>
      <c r="F27" s="55">
        <f t="shared" si="6"/>
        <v>91.2409090909091</v>
      </c>
      <c r="G27" s="55">
        <f t="shared" si="6"/>
        <v>161.99</v>
      </c>
      <c r="H27" s="46">
        <f t="shared" si="6"/>
        <v>127.313245158935</v>
      </c>
      <c r="I27" s="55">
        <f t="shared" si="6"/>
        <v>1079.72083333333</v>
      </c>
      <c r="J27" s="55">
        <f t="shared" si="6"/>
        <v>4.40302434760987</v>
      </c>
      <c r="K27" s="55">
        <f t="shared" si="6"/>
        <v>39.8798374265026</v>
      </c>
      <c r="L27" s="55">
        <f t="shared" si="6"/>
        <v>1.04413527320025</v>
      </c>
      <c r="M27" s="55">
        <f t="shared" si="6"/>
        <v>55.374347826087</v>
      </c>
      <c r="O27" s="55"/>
      <c r="P27" s="55"/>
      <c r="Q27" s="46"/>
      <c r="R27" s="55"/>
      <c r="S27" s="55"/>
      <c r="T27" s="55"/>
      <c r="U27" s="71"/>
      <c r="V27" s="55"/>
      <c r="W27" s="55"/>
      <c r="X27" s="63"/>
      <c r="Y27" s="63"/>
    </row>
    <row r="28" spans="11:11">
      <c r="K28" s="55"/>
    </row>
    <row r="29" spans="1:11">
      <c r="A29" s="48" t="s">
        <v>64</v>
      </c>
      <c r="B29" s="55">
        <v>12.1</v>
      </c>
      <c r="C29" s="55">
        <v>15.8</v>
      </c>
      <c r="D29" s="46">
        <v>0</v>
      </c>
      <c r="E29" s="55">
        <f t="shared" ref="E29:E52" si="7">B29/C29</f>
        <v>0.765822784810127</v>
      </c>
      <c r="F29" s="55">
        <v>88.9</v>
      </c>
      <c r="G29" s="55">
        <v>169.2</v>
      </c>
      <c r="H29" s="71">
        <f>DEGREES(ACOS((F29^2+F30^2-G29^2)/(2*F29*F30)))</f>
        <v>130.19508092132</v>
      </c>
      <c r="I29" s="55">
        <v>160.23</v>
      </c>
      <c r="J29" s="55" t="s">
        <v>39</v>
      </c>
      <c r="K29" s="55">
        <f>SQRT((F30+F29+G29)/2*((F29+F30+G29)/2-F29)*((F29+F30+G29)/2-F30)*((F29+F30+G29)/2-G29))*2/G29</f>
        <v>39.1705908228082</v>
      </c>
    </row>
    <row r="30" spans="1:11">
      <c r="A30" s="48" t="s">
        <v>65</v>
      </c>
      <c r="B30" s="55">
        <v>18.9</v>
      </c>
      <c r="C30" s="55">
        <v>11.3</v>
      </c>
      <c r="D30" s="55" t="s">
        <v>39</v>
      </c>
      <c r="E30" s="55">
        <f t="shared" si="7"/>
        <v>1.67256637168142</v>
      </c>
      <c r="F30" s="55">
        <v>97.6</v>
      </c>
      <c r="G30" s="55" t="s">
        <v>39</v>
      </c>
      <c r="H30" s="55" t="s">
        <v>39</v>
      </c>
      <c r="I30" s="55">
        <v>141.8</v>
      </c>
      <c r="J30" s="55" t="s">
        <v>39</v>
      </c>
      <c r="K30" s="55" t="s">
        <v>39</v>
      </c>
    </row>
    <row r="31" spans="1:11">
      <c r="A31" s="48" t="s">
        <v>66</v>
      </c>
      <c r="B31" s="55">
        <v>12.2</v>
      </c>
      <c r="C31" s="55">
        <v>21.5</v>
      </c>
      <c r="D31" s="55" t="s">
        <v>39</v>
      </c>
      <c r="E31" s="55">
        <f t="shared" si="7"/>
        <v>0.567441860465116</v>
      </c>
      <c r="F31" s="55" t="s">
        <v>39</v>
      </c>
      <c r="G31" s="55" t="s">
        <v>39</v>
      </c>
      <c r="H31" s="55" t="s">
        <v>39</v>
      </c>
      <c r="I31" s="55">
        <v>188</v>
      </c>
      <c r="J31" s="55" t="s">
        <v>39</v>
      </c>
      <c r="K31" s="55" t="s">
        <v>39</v>
      </c>
    </row>
    <row r="32" spans="1:11">
      <c r="A32" s="48" t="s">
        <v>67</v>
      </c>
      <c r="B32" s="55">
        <v>15.5</v>
      </c>
      <c r="C32" s="55">
        <v>15.3</v>
      </c>
      <c r="D32" s="55" t="s">
        <v>39</v>
      </c>
      <c r="E32" s="55">
        <f t="shared" si="7"/>
        <v>1.01307189542484</v>
      </c>
      <c r="F32" s="55" t="s">
        <v>39</v>
      </c>
      <c r="G32" s="55" t="s">
        <v>39</v>
      </c>
      <c r="H32" s="55" t="s">
        <v>39</v>
      </c>
      <c r="I32" s="55">
        <v>261.1</v>
      </c>
      <c r="J32" s="55" t="s">
        <v>39</v>
      </c>
      <c r="K32" s="55" t="s">
        <v>39</v>
      </c>
    </row>
    <row r="33" spans="1:11">
      <c r="A33" s="48" t="s">
        <v>68</v>
      </c>
      <c r="B33" s="55">
        <v>8.8</v>
      </c>
      <c r="C33" s="55">
        <v>15.2</v>
      </c>
      <c r="D33" s="55" t="s">
        <v>39</v>
      </c>
      <c r="E33" s="55">
        <f t="shared" si="7"/>
        <v>0.578947368421053</v>
      </c>
      <c r="F33" s="55" t="s">
        <v>39</v>
      </c>
      <c r="G33" s="55" t="s">
        <v>39</v>
      </c>
      <c r="H33" s="55" t="s">
        <v>39</v>
      </c>
      <c r="I33" s="55">
        <v>82.1</v>
      </c>
      <c r="J33" s="55" t="s">
        <v>39</v>
      </c>
      <c r="K33" s="55" t="s">
        <v>39</v>
      </c>
    </row>
    <row r="34" spans="1:11">
      <c r="A34" s="48" t="s">
        <v>69</v>
      </c>
      <c r="B34" s="55">
        <v>17.5</v>
      </c>
      <c r="C34" s="55">
        <v>14.9</v>
      </c>
      <c r="D34" s="46">
        <v>9</v>
      </c>
      <c r="E34" s="55">
        <f t="shared" si="7"/>
        <v>1.1744966442953</v>
      </c>
      <c r="F34" s="55">
        <v>100.1</v>
      </c>
      <c r="G34" s="55">
        <v>167.2</v>
      </c>
      <c r="H34" s="71">
        <f t="shared" ref="H34:H50" si="8">DEGREES(ACOS((F34^2+F35^2-G34^2)/(2*F34*F35)))</f>
        <v>119.415811006832</v>
      </c>
      <c r="I34" s="55">
        <v>221.9</v>
      </c>
      <c r="J34" s="55" t="s">
        <v>39</v>
      </c>
      <c r="K34" s="55">
        <f t="shared" ref="K34:K50" si="9">SQRT((F35+F34+G34)/2*((F34+F35+G34)/2-F34)*((F34+F35+G34)/2-F35)*((F34+F35+G34)/2-G34))*2/G34</f>
        <v>48.7603276935943</v>
      </c>
    </row>
    <row r="35" spans="1:11">
      <c r="A35" s="48" t="s">
        <v>70</v>
      </c>
      <c r="B35" s="55">
        <v>17</v>
      </c>
      <c r="C35" s="55">
        <v>14.3</v>
      </c>
      <c r="D35" s="55" t="s">
        <v>39</v>
      </c>
      <c r="E35" s="55">
        <f t="shared" si="7"/>
        <v>1.18881118881119</v>
      </c>
      <c r="F35" s="55">
        <v>93.5</v>
      </c>
      <c r="G35" s="55" t="s">
        <v>38</v>
      </c>
      <c r="H35" s="55" t="s">
        <v>39</v>
      </c>
      <c r="I35" s="55">
        <v>203.9</v>
      </c>
      <c r="J35" s="55" t="s">
        <v>39</v>
      </c>
      <c r="K35" s="55" t="s">
        <v>39</v>
      </c>
    </row>
    <row r="36" spans="1:11">
      <c r="A36" s="48" t="s">
        <v>71</v>
      </c>
      <c r="B36" s="55">
        <v>17.8</v>
      </c>
      <c r="C36" s="55">
        <v>19.7</v>
      </c>
      <c r="D36" s="46">
        <v>9</v>
      </c>
      <c r="E36" s="55">
        <f t="shared" si="7"/>
        <v>0.903553299492386</v>
      </c>
      <c r="F36" s="55" t="s">
        <v>39</v>
      </c>
      <c r="G36" s="55">
        <v>153</v>
      </c>
      <c r="H36" s="55" t="s">
        <v>39</v>
      </c>
      <c r="I36" s="55">
        <v>346.9</v>
      </c>
      <c r="J36" s="55" t="s">
        <v>39</v>
      </c>
      <c r="K36" s="55" t="s">
        <v>39</v>
      </c>
    </row>
    <row r="37" spans="1:16">
      <c r="A37" s="48" t="s">
        <v>72</v>
      </c>
      <c r="B37" s="55">
        <v>5.3</v>
      </c>
      <c r="C37" s="55">
        <v>13.9</v>
      </c>
      <c r="D37" s="55" t="s">
        <v>39</v>
      </c>
      <c r="E37" s="55">
        <f t="shared" si="7"/>
        <v>0.381294964028777</v>
      </c>
      <c r="F37" s="55" t="s">
        <v>39</v>
      </c>
      <c r="G37" s="55" t="s">
        <v>39</v>
      </c>
      <c r="H37" s="55" t="s">
        <v>39</v>
      </c>
      <c r="I37" s="55">
        <v>78.8</v>
      </c>
      <c r="J37" s="55" t="s">
        <v>39</v>
      </c>
      <c r="K37" s="55" t="s">
        <v>39</v>
      </c>
      <c r="P37" s="46"/>
    </row>
    <row r="38" spans="1:16">
      <c r="A38" s="48" t="s">
        <v>73</v>
      </c>
      <c r="B38" s="55">
        <v>15.9</v>
      </c>
      <c r="C38" s="55">
        <v>32.3</v>
      </c>
      <c r="D38" s="46">
        <v>-20</v>
      </c>
      <c r="E38" s="55">
        <f t="shared" si="7"/>
        <v>0.492260061919505</v>
      </c>
      <c r="F38" s="55">
        <v>85.4</v>
      </c>
      <c r="G38" s="55">
        <v>153.7</v>
      </c>
      <c r="H38" s="71">
        <f t="shared" si="8"/>
        <v>125.99917591594</v>
      </c>
      <c r="I38" s="55">
        <v>392.8</v>
      </c>
      <c r="J38" s="55" t="s">
        <v>39</v>
      </c>
      <c r="K38" s="55">
        <f t="shared" si="9"/>
        <v>39.1529365895488</v>
      </c>
      <c r="P38" s="46"/>
    </row>
    <row r="39" spans="1:16">
      <c r="A39" s="48" t="s">
        <v>74</v>
      </c>
      <c r="B39" s="55">
        <v>10.1</v>
      </c>
      <c r="C39" s="55">
        <v>28.7</v>
      </c>
      <c r="D39" s="46">
        <v>0</v>
      </c>
      <c r="E39" s="55">
        <f t="shared" si="7"/>
        <v>0.35191637630662</v>
      </c>
      <c r="F39" s="55">
        <v>87.1</v>
      </c>
      <c r="G39" s="55">
        <v>163.9</v>
      </c>
      <c r="H39" s="71">
        <f t="shared" si="8"/>
        <v>121.499629788292</v>
      </c>
      <c r="I39" s="55">
        <v>233.5</v>
      </c>
      <c r="J39" s="55" t="s">
        <v>39</v>
      </c>
      <c r="K39" s="55">
        <f t="shared" si="9"/>
        <v>45.5831872388075</v>
      </c>
      <c r="P39" s="46"/>
    </row>
    <row r="40" spans="1:16">
      <c r="A40" s="48" t="s">
        <v>75</v>
      </c>
      <c r="B40" s="55">
        <v>16</v>
      </c>
      <c r="C40" s="55">
        <v>26.9</v>
      </c>
      <c r="D40" s="46">
        <v>13</v>
      </c>
      <c r="E40" s="55">
        <f t="shared" si="7"/>
        <v>0.594795539033457</v>
      </c>
      <c r="F40" s="55">
        <v>100.6</v>
      </c>
      <c r="G40" s="55">
        <v>176.8</v>
      </c>
      <c r="H40" s="71">
        <f t="shared" si="8"/>
        <v>125.687479094782</v>
      </c>
      <c r="I40" s="55">
        <v>295.4</v>
      </c>
      <c r="J40" s="55" t="s">
        <v>39</v>
      </c>
      <c r="K40" s="55">
        <f t="shared" si="9"/>
        <v>45.3370867600619</v>
      </c>
      <c r="P40" s="46"/>
    </row>
    <row r="41" spans="1:16">
      <c r="A41" s="48" t="s">
        <v>76</v>
      </c>
      <c r="B41" s="55">
        <v>21.4</v>
      </c>
      <c r="C41" s="55">
        <v>37</v>
      </c>
      <c r="D41" s="46">
        <v>23</v>
      </c>
      <c r="E41" s="55">
        <f t="shared" si="7"/>
        <v>0.578378378378378</v>
      </c>
      <c r="F41" s="55">
        <v>98.1</v>
      </c>
      <c r="G41" s="55">
        <v>148.9</v>
      </c>
      <c r="H41" s="71">
        <f t="shared" si="8"/>
        <v>113.62605365168</v>
      </c>
      <c r="I41" s="55">
        <v>553.9</v>
      </c>
      <c r="J41" s="55" t="s">
        <v>39</v>
      </c>
      <c r="K41" s="55">
        <f t="shared" si="9"/>
        <v>47.926520214096</v>
      </c>
      <c r="P41" s="46"/>
    </row>
    <row r="42" spans="1:16">
      <c r="A42" s="48" t="s">
        <v>77</v>
      </c>
      <c r="B42" s="55">
        <v>20</v>
      </c>
      <c r="C42" s="55">
        <v>29.1</v>
      </c>
      <c r="D42" s="46">
        <v>0</v>
      </c>
      <c r="E42" s="55">
        <f t="shared" si="7"/>
        <v>0.687285223367698</v>
      </c>
      <c r="F42" s="55">
        <v>79.4</v>
      </c>
      <c r="G42" s="55">
        <v>155.3</v>
      </c>
      <c r="H42" s="71">
        <f t="shared" si="8"/>
        <v>123.821706383317</v>
      </c>
      <c r="I42" s="55">
        <v>443.7</v>
      </c>
      <c r="J42" s="55" t="s">
        <v>39</v>
      </c>
      <c r="K42" s="55">
        <f t="shared" si="9"/>
        <v>40.9457469670357</v>
      </c>
      <c r="P42" s="46"/>
    </row>
    <row r="43" spans="1:16">
      <c r="A43" s="48" t="s">
        <v>78</v>
      </c>
      <c r="B43" s="55">
        <v>14.1</v>
      </c>
      <c r="C43" s="55">
        <v>28.4</v>
      </c>
      <c r="D43" s="46">
        <v>-41</v>
      </c>
      <c r="E43" s="55">
        <f t="shared" si="7"/>
        <v>0.496478873239437</v>
      </c>
      <c r="F43" s="55">
        <v>96.4</v>
      </c>
      <c r="G43" s="55">
        <v>124.2</v>
      </c>
      <c r="H43" s="71">
        <f t="shared" si="8"/>
        <v>80.8132461135589</v>
      </c>
      <c r="I43" s="55">
        <v>282.7</v>
      </c>
      <c r="J43" s="55" t="s">
        <v>39</v>
      </c>
      <c r="K43" s="55">
        <f t="shared" si="9"/>
        <v>72.9433564999966</v>
      </c>
      <c r="O43" s="46"/>
      <c r="P43" s="46"/>
    </row>
    <row r="44" spans="1:25">
      <c r="A44" s="48" t="s">
        <v>79</v>
      </c>
      <c r="B44" s="55">
        <v>22.1</v>
      </c>
      <c r="C44" s="55">
        <v>40.6</v>
      </c>
      <c r="D44" s="46">
        <v>64</v>
      </c>
      <c r="E44" s="55">
        <f t="shared" si="7"/>
        <v>0.544334975369458</v>
      </c>
      <c r="F44" s="55">
        <v>95.2</v>
      </c>
      <c r="G44" s="55">
        <v>175.1</v>
      </c>
      <c r="H44" s="71">
        <f t="shared" si="8"/>
        <v>113.083277509541</v>
      </c>
      <c r="I44" s="55">
        <v>696.9</v>
      </c>
      <c r="J44" s="55" t="s">
        <v>39</v>
      </c>
      <c r="K44" s="55">
        <f t="shared" si="9"/>
        <v>57.1682149056402</v>
      </c>
      <c r="O44" s="55"/>
      <c r="P44" s="55"/>
      <c r="Q44" s="46"/>
      <c r="R44" s="55"/>
      <c r="S44" s="55"/>
      <c r="T44" s="55"/>
      <c r="U44" s="71"/>
      <c r="V44" s="55"/>
      <c r="W44" s="55"/>
      <c r="X44" s="63"/>
      <c r="Y44" s="63"/>
    </row>
    <row r="45" spans="1:25">
      <c r="A45" s="48" t="s">
        <v>80</v>
      </c>
      <c r="B45" s="55">
        <v>16.2</v>
      </c>
      <c r="C45" s="55">
        <v>21.4</v>
      </c>
      <c r="D45" s="46">
        <v>11</v>
      </c>
      <c r="E45" s="55">
        <f t="shared" si="7"/>
        <v>0.757009345794392</v>
      </c>
      <c r="F45" s="55">
        <v>114.3</v>
      </c>
      <c r="G45" s="55">
        <v>166.1</v>
      </c>
      <c r="H45" s="71">
        <f t="shared" si="8"/>
        <v>92.3097766835081</v>
      </c>
      <c r="I45" s="55">
        <v>307</v>
      </c>
      <c r="J45" s="55" t="s">
        <v>39</v>
      </c>
      <c r="K45" s="55">
        <f t="shared" si="9"/>
        <v>79.7593477310253</v>
      </c>
      <c r="O45" s="55"/>
      <c r="P45" s="55"/>
      <c r="Q45" s="46"/>
      <c r="R45" s="55"/>
      <c r="S45" s="55"/>
      <c r="T45" s="55"/>
      <c r="U45" s="71"/>
      <c r="V45" s="55"/>
      <c r="W45" s="55"/>
      <c r="X45" s="63"/>
      <c r="Y45" s="63"/>
    </row>
    <row r="46" spans="1:25">
      <c r="A46" s="48" t="s">
        <v>81</v>
      </c>
      <c r="B46" s="55">
        <v>21</v>
      </c>
      <c r="C46" s="55">
        <v>40.9</v>
      </c>
      <c r="D46" s="46">
        <v>39</v>
      </c>
      <c r="E46" s="55">
        <f t="shared" si="7"/>
        <v>0.513447432762836</v>
      </c>
      <c r="F46" s="55">
        <v>116</v>
      </c>
      <c r="G46" s="55">
        <v>168.8</v>
      </c>
      <c r="H46" s="71">
        <f t="shared" si="8"/>
        <v>102.794697286312</v>
      </c>
      <c r="I46" s="55">
        <v>688.3</v>
      </c>
      <c r="J46" s="55" t="s">
        <v>39</v>
      </c>
      <c r="K46" s="55">
        <f t="shared" si="9"/>
        <v>66.7459859585943</v>
      </c>
      <c r="O46" s="55"/>
      <c r="P46" s="55"/>
      <c r="Q46" s="46"/>
      <c r="R46" s="55"/>
      <c r="S46" s="55"/>
      <c r="T46" s="55"/>
      <c r="U46" s="71"/>
      <c r="V46" s="55"/>
      <c r="W46" s="55"/>
      <c r="X46" s="63"/>
      <c r="Y46" s="63"/>
    </row>
    <row r="47" spans="1:25">
      <c r="A47" s="48" t="s">
        <v>82</v>
      </c>
      <c r="B47" s="55">
        <v>17.6</v>
      </c>
      <c r="C47" s="55">
        <v>31.94</v>
      </c>
      <c r="D47" s="46">
        <v>35</v>
      </c>
      <c r="E47" s="55">
        <f t="shared" si="7"/>
        <v>0.551033187226049</v>
      </c>
      <c r="F47" s="55">
        <v>99.6</v>
      </c>
      <c r="G47" s="55">
        <v>148.7</v>
      </c>
      <c r="H47" s="71">
        <f t="shared" si="8"/>
        <v>81.0971629875568</v>
      </c>
      <c r="I47" s="55">
        <v>405.7</v>
      </c>
      <c r="J47" s="55" t="s">
        <v>39</v>
      </c>
      <c r="K47" s="55">
        <f t="shared" si="9"/>
        <v>83.9742099220381</v>
      </c>
      <c r="O47" s="55"/>
      <c r="P47" s="55"/>
      <c r="Q47" s="46"/>
      <c r="R47" s="55"/>
      <c r="S47" s="55"/>
      <c r="T47" s="55"/>
      <c r="U47" s="71"/>
      <c r="V47" s="55"/>
      <c r="W47" s="55"/>
      <c r="X47" s="63"/>
      <c r="Y47" s="63"/>
    </row>
    <row r="48" customHeight="1" spans="1:25">
      <c r="A48" s="48" t="s">
        <v>83</v>
      </c>
      <c r="B48" s="55">
        <v>17.4</v>
      </c>
      <c r="C48" s="55">
        <v>30.3</v>
      </c>
      <c r="D48" s="46">
        <v>47</v>
      </c>
      <c r="E48" s="55">
        <f t="shared" si="7"/>
        <v>0.574257425742574</v>
      </c>
      <c r="F48" s="55">
        <v>126.9</v>
      </c>
      <c r="G48" s="55">
        <v>179.2</v>
      </c>
      <c r="H48" s="71">
        <f t="shared" si="8"/>
        <v>110.186531204961</v>
      </c>
      <c r="I48" s="55">
        <v>438.6</v>
      </c>
      <c r="J48" s="55" t="s">
        <v>39</v>
      </c>
      <c r="K48" s="55">
        <f t="shared" si="9"/>
        <v>59.8848553345293</v>
      </c>
      <c r="O48" s="55"/>
      <c r="P48" s="55"/>
      <c r="Q48" s="46"/>
      <c r="R48" s="55"/>
      <c r="S48" s="55"/>
      <c r="T48" s="55"/>
      <c r="U48" s="71"/>
      <c r="V48" s="55"/>
      <c r="W48" s="55"/>
      <c r="X48" s="63"/>
      <c r="Y48" s="63"/>
    </row>
    <row r="49" spans="1:25">
      <c r="A49" s="48" t="s">
        <v>84</v>
      </c>
      <c r="B49" s="55">
        <v>27.2</v>
      </c>
      <c r="C49" s="55">
        <v>34.6</v>
      </c>
      <c r="D49" s="46">
        <v>46</v>
      </c>
      <c r="E49" s="55">
        <f t="shared" si="7"/>
        <v>0.786127167630058</v>
      </c>
      <c r="F49" s="55">
        <v>90.1</v>
      </c>
      <c r="G49" s="55">
        <v>171.7</v>
      </c>
      <c r="H49" s="71">
        <f t="shared" si="8"/>
        <v>117.168152039624</v>
      </c>
      <c r="I49" s="55">
        <v>738.3</v>
      </c>
      <c r="J49" s="55" t="s">
        <v>39</v>
      </c>
      <c r="K49" s="55">
        <f t="shared" si="9"/>
        <v>51.6810366593892</v>
      </c>
      <c r="O49" s="55"/>
      <c r="P49" s="55"/>
      <c r="Q49" s="46"/>
      <c r="R49" s="55"/>
      <c r="S49" s="55"/>
      <c r="T49" s="55"/>
      <c r="U49" s="71"/>
      <c r="V49" s="55"/>
      <c r="W49" s="55"/>
      <c r="X49" s="63"/>
      <c r="Y49" s="63"/>
    </row>
    <row r="50" spans="1:25">
      <c r="A50" s="48" t="s">
        <v>85</v>
      </c>
      <c r="B50" s="55">
        <v>20</v>
      </c>
      <c r="C50" s="55">
        <v>33.1</v>
      </c>
      <c r="D50" s="46">
        <v>-26</v>
      </c>
      <c r="E50" s="55">
        <f t="shared" si="7"/>
        <v>0.604229607250755</v>
      </c>
      <c r="F50" s="55">
        <v>110.7</v>
      </c>
      <c r="G50" s="55">
        <v>179.5</v>
      </c>
      <c r="H50" s="71">
        <f t="shared" si="8"/>
        <v>104.220061456092</v>
      </c>
      <c r="I50" s="55">
        <v>513.7</v>
      </c>
      <c r="J50" s="55" t="s">
        <v>39</v>
      </c>
      <c r="K50" s="55">
        <f t="shared" si="9"/>
        <v>69.7652009651398</v>
      </c>
      <c r="O50" s="55"/>
      <c r="P50" s="55"/>
      <c r="Q50" s="46"/>
      <c r="R50" s="55"/>
      <c r="S50" s="55"/>
      <c r="T50" s="55"/>
      <c r="U50" s="71"/>
      <c r="V50" s="55"/>
      <c r="W50" s="55"/>
      <c r="X50" s="63"/>
      <c r="Y50" s="63"/>
    </row>
    <row r="51" spans="1:25">
      <c r="A51" s="48" t="s">
        <v>86</v>
      </c>
      <c r="B51" s="55">
        <v>23.1</v>
      </c>
      <c r="C51" s="55">
        <v>40.1</v>
      </c>
      <c r="D51" s="46">
        <v>82</v>
      </c>
      <c r="E51" s="55">
        <f t="shared" si="7"/>
        <v>0.576059850374065</v>
      </c>
      <c r="F51" s="55">
        <v>116.7</v>
      </c>
      <c r="G51" s="55" t="s">
        <v>39</v>
      </c>
      <c r="H51" s="55" t="s">
        <v>39</v>
      </c>
      <c r="I51" s="55">
        <v>765.2</v>
      </c>
      <c r="J51" s="55" t="s">
        <v>39</v>
      </c>
      <c r="K51" s="55" t="s">
        <v>39</v>
      </c>
      <c r="O51" s="55"/>
      <c r="P51" s="55"/>
      <c r="Q51" s="46"/>
      <c r="R51" s="55"/>
      <c r="S51" s="55"/>
      <c r="T51" s="55"/>
      <c r="U51" s="71"/>
      <c r="V51" s="55"/>
      <c r="W51" s="55"/>
      <c r="X51" s="63"/>
      <c r="Y51" s="63"/>
    </row>
    <row r="52" spans="1:25">
      <c r="A52" s="48" t="s">
        <v>87</v>
      </c>
      <c r="B52" s="55">
        <v>11.6</v>
      </c>
      <c r="C52" s="55">
        <v>24.7</v>
      </c>
      <c r="D52" s="55" t="s">
        <v>39</v>
      </c>
      <c r="E52" s="55">
        <f t="shared" si="7"/>
        <v>0.469635627530364</v>
      </c>
      <c r="F52" s="55" t="s">
        <v>39</v>
      </c>
      <c r="G52" s="55" t="s">
        <v>39</v>
      </c>
      <c r="H52" s="55" t="s">
        <v>39</v>
      </c>
      <c r="I52" s="55">
        <v>172.6</v>
      </c>
      <c r="J52" s="55" t="s">
        <v>39</v>
      </c>
      <c r="K52" s="55" t="s">
        <v>39</v>
      </c>
      <c r="O52" s="55"/>
      <c r="P52" s="55"/>
      <c r="Q52" s="46"/>
      <c r="R52" s="55"/>
      <c r="S52" s="55"/>
      <c r="T52" s="55"/>
      <c r="U52" s="71"/>
      <c r="V52" s="55"/>
      <c r="W52" s="55"/>
      <c r="X52" s="63"/>
      <c r="Y52" s="63"/>
    </row>
    <row r="53" spans="1:16">
      <c r="A53" s="48" t="s">
        <v>88</v>
      </c>
      <c r="B53" s="55">
        <f t="shared" ref="B53:I53" si="10">AVERAGE(B29:B52)</f>
        <v>16.6166666666667</v>
      </c>
      <c r="C53" s="55">
        <f t="shared" si="10"/>
        <v>25.9141666666667</v>
      </c>
      <c r="D53" s="96" t="s">
        <v>89</v>
      </c>
      <c r="E53" s="55">
        <f t="shared" si="10"/>
        <v>0.700968977056494</v>
      </c>
      <c r="F53" s="55">
        <f t="shared" si="10"/>
        <v>99.8111111111111</v>
      </c>
      <c r="G53" s="55">
        <f t="shared" si="10"/>
        <v>162.58125</v>
      </c>
      <c r="H53" s="46">
        <f t="shared" si="10"/>
        <v>110.794522802888</v>
      </c>
      <c r="I53" s="55">
        <f t="shared" si="10"/>
        <v>358.87625</v>
      </c>
      <c r="J53" s="55" t="s">
        <v>39</v>
      </c>
      <c r="K53" s="55">
        <f>AVERAGE(K29:K52)</f>
        <v>56.586573617487</v>
      </c>
      <c r="P53" s="46"/>
    </row>
    <row r="54" spans="4:16">
      <c r="D54" s="96"/>
      <c r="H54" s="46"/>
      <c r="K54" s="55"/>
      <c r="P54" s="46"/>
    </row>
    <row r="55" s="49" customFormat="1" spans="1:16">
      <c r="A55" s="49" t="s">
        <v>90</v>
      </c>
      <c r="B55" s="52"/>
      <c r="C55" s="52"/>
      <c r="D55" s="92"/>
      <c r="E55" s="52"/>
      <c r="F55" s="52"/>
      <c r="G55" s="52"/>
      <c r="H55" s="93"/>
      <c r="I55" s="52"/>
      <c r="J55" s="52"/>
      <c r="K55" s="97"/>
      <c r="L55" s="97"/>
      <c r="P55" s="92"/>
    </row>
    <row r="56" spans="2:19">
      <c r="B56" s="58" t="s">
        <v>0</v>
      </c>
      <c r="C56" s="58" t="s">
        <v>2</v>
      </c>
      <c r="D56" s="59" t="s">
        <v>16</v>
      </c>
      <c r="E56" s="58" t="s">
        <v>4</v>
      </c>
      <c r="F56" s="58" t="s">
        <v>18</v>
      </c>
      <c r="G56" s="58" t="s">
        <v>20</v>
      </c>
      <c r="H56" s="59" t="s">
        <v>22</v>
      </c>
      <c r="I56" s="58" t="s">
        <v>24</v>
      </c>
      <c r="J56" s="58" t="s">
        <v>26</v>
      </c>
      <c r="K56" s="58" t="s">
        <v>28</v>
      </c>
      <c r="L56" s="58" t="s">
        <v>30</v>
      </c>
      <c r="M56" s="58" t="s">
        <v>91</v>
      </c>
      <c r="N56" s="58" t="s">
        <v>92</v>
      </c>
      <c r="O56" s="58" t="s">
        <v>93</v>
      </c>
      <c r="P56" s="58" t="s">
        <v>94</v>
      </c>
      <c r="Q56" s="58" t="s">
        <v>95</v>
      </c>
      <c r="R56" s="58" t="s">
        <v>96</v>
      </c>
      <c r="S56" s="58" t="s">
        <v>97</v>
      </c>
    </row>
    <row r="57" spans="1:19">
      <c r="A57" s="48" t="s">
        <v>98</v>
      </c>
      <c r="B57" s="55" t="s">
        <v>39</v>
      </c>
      <c r="C57" s="55" t="s">
        <v>39</v>
      </c>
      <c r="D57" s="55" t="s">
        <v>39</v>
      </c>
      <c r="E57" s="55" t="s">
        <v>39</v>
      </c>
      <c r="F57" s="55" t="s">
        <v>39</v>
      </c>
      <c r="G57" s="55" t="s">
        <v>39</v>
      </c>
      <c r="H57" s="55" t="s">
        <v>39</v>
      </c>
      <c r="I57" s="55" t="s">
        <v>39</v>
      </c>
      <c r="J57" s="55" t="s">
        <v>39</v>
      </c>
      <c r="K57" s="55" t="s">
        <v>39</v>
      </c>
      <c r="L57" s="55" t="s">
        <v>39</v>
      </c>
      <c r="M57" s="55" t="s">
        <v>39</v>
      </c>
      <c r="N57" s="55" t="s">
        <v>39</v>
      </c>
      <c r="O57" s="55" t="s">
        <v>39</v>
      </c>
      <c r="P57" s="55" t="s">
        <v>39</v>
      </c>
      <c r="Q57" s="55" t="s">
        <v>39</v>
      </c>
      <c r="R57" s="55">
        <v>9.48</v>
      </c>
      <c r="S57" s="55" t="s">
        <v>39</v>
      </c>
    </row>
    <row r="58" spans="1:19">
      <c r="A58" s="48" t="s">
        <v>99</v>
      </c>
      <c r="B58" s="55" t="s">
        <v>39</v>
      </c>
      <c r="C58" s="55" t="s">
        <v>39</v>
      </c>
      <c r="D58" s="55" t="s">
        <v>39</v>
      </c>
      <c r="E58" s="55" t="s">
        <v>39</v>
      </c>
      <c r="F58" s="55" t="s">
        <v>39</v>
      </c>
      <c r="G58" s="55" t="s">
        <v>39</v>
      </c>
      <c r="H58" s="55" t="s">
        <v>39</v>
      </c>
      <c r="I58" s="55" t="s">
        <v>39</v>
      </c>
      <c r="J58" s="55" t="s">
        <v>39</v>
      </c>
      <c r="K58" s="55" t="s">
        <v>39</v>
      </c>
      <c r="L58" s="55" t="s">
        <v>39</v>
      </c>
      <c r="M58" s="55">
        <v>85.09</v>
      </c>
      <c r="N58" s="55" t="s">
        <v>39</v>
      </c>
      <c r="O58" s="55" t="s">
        <v>39</v>
      </c>
      <c r="P58" s="55" t="s">
        <v>39</v>
      </c>
      <c r="Q58" s="55" t="s">
        <v>39</v>
      </c>
      <c r="R58" s="55">
        <v>25.92</v>
      </c>
      <c r="S58" s="55" t="s">
        <v>39</v>
      </c>
    </row>
    <row r="59" spans="1:19">
      <c r="A59" s="48" t="s">
        <v>100</v>
      </c>
      <c r="B59" s="55">
        <v>75.1</v>
      </c>
      <c r="C59" s="55">
        <v>52.26</v>
      </c>
      <c r="D59" s="46">
        <v>42.75</v>
      </c>
      <c r="E59" s="55">
        <f t="shared" ref="E59:E64" si="11">B59/C59</f>
        <v>1.43704554152315</v>
      </c>
      <c r="F59" s="55">
        <v>109.81</v>
      </c>
      <c r="G59" s="55">
        <v>187.66</v>
      </c>
      <c r="H59" s="46">
        <f t="shared" ref="H59:H62" si="12">DEGREES(ACOS((F59^2+F60^2-G59^2)/(2*F59*F60)))</f>
        <v>106.781914655431</v>
      </c>
      <c r="I59" s="55">
        <v>3057</v>
      </c>
      <c r="J59" s="55">
        <f t="shared" ref="J59:J63" si="13">I59/I70</f>
        <v>1.67991954850445</v>
      </c>
      <c r="K59" s="55">
        <f t="shared" ref="K59:K62" si="14">SQRT((F60+F59+G59)/2*((F59+F60+G59)/2-F59)*((F59+F60+G59)/2-F60)*((F59+F60+G59)/2-G59))*2/G59</f>
        <v>69.3231933421484</v>
      </c>
      <c r="L59" s="55">
        <f t="shared" ref="L59:L62" si="15">K59/B59</f>
        <v>0.923078473264293</v>
      </c>
      <c r="M59" s="55">
        <v>88.45</v>
      </c>
      <c r="N59" s="55">
        <v>65.33</v>
      </c>
      <c r="O59" s="55">
        <f t="shared" ref="O59:O64" si="16">M59/N59</f>
        <v>1.35389560691872</v>
      </c>
      <c r="P59" s="55">
        <v>4602.3</v>
      </c>
      <c r="Q59" s="55">
        <f t="shared" ref="Q59:Q63" si="17">P59/P70</f>
        <v>1.2795860661549</v>
      </c>
      <c r="R59" s="55">
        <v>31.3</v>
      </c>
      <c r="S59" s="55">
        <v>47.07</v>
      </c>
    </row>
    <row r="60" spans="1:19">
      <c r="A60" s="48" t="s">
        <v>40</v>
      </c>
      <c r="B60" s="55">
        <v>64.2</v>
      </c>
      <c r="C60" s="55">
        <v>55</v>
      </c>
      <c r="D60" s="46">
        <v>50.73</v>
      </c>
      <c r="E60" s="55">
        <f t="shared" si="11"/>
        <v>1.16727272727273</v>
      </c>
      <c r="F60" s="55">
        <v>123.74</v>
      </c>
      <c r="G60" s="55">
        <v>191.43</v>
      </c>
      <c r="H60" s="46">
        <f t="shared" si="12"/>
        <v>114.743265341526</v>
      </c>
      <c r="I60" s="55">
        <v>2854.44</v>
      </c>
      <c r="J60" s="55">
        <f t="shared" si="13"/>
        <v>1.97394298991743</v>
      </c>
      <c r="K60" s="55">
        <f t="shared" si="14"/>
        <v>60.5722196406158</v>
      </c>
      <c r="L60" s="55">
        <f t="shared" si="15"/>
        <v>0.943492517766601</v>
      </c>
      <c r="M60" s="55">
        <v>83.4</v>
      </c>
      <c r="N60" s="55">
        <v>86.73</v>
      </c>
      <c r="O60" s="55">
        <f t="shared" si="16"/>
        <v>0.961604980975441</v>
      </c>
      <c r="P60" s="55">
        <v>5669.39</v>
      </c>
      <c r="Q60" s="55">
        <f t="shared" si="17"/>
        <v>1.68094985367936</v>
      </c>
      <c r="R60" s="55">
        <v>20.23</v>
      </c>
      <c r="S60" s="55">
        <v>44.59</v>
      </c>
    </row>
    <row r="61" spans="1:19">
      <c r="A61" s="48" t="s">
        <v>41</v>
      </c>
      <c r="B61" s="55">
        <v>73.1</v>
      </c>
      <c r="C61" s="55">
        <v>43.77</v>
      </c>
      <c r="D61" s="46">
        <v>38.76</v>
      </c>
      <c r="E61" s="55">
        <f t="shared" si="11"/>
        <v>1.67009367146447</v>
      </c>
      <c r="F61" s="55">
        <v>103.18</v>
      </c>
      <c r="G61" s="55">
        <v>182.37</v>
      </c>
      <c r="H61" s="46">
        <f t="shared" si="12"/>
        <v>102.889473245462</v>
      </c>
      <c r="I61" s="55">
        <v>2343.82</v>
      </c>
      <c r="J61" s="55">
        <f t="shared" si="13"/>
        <v>1.78576761904762</v>
      </c>
      <c r="K61" s="55">
        <f t="shared" si="14"/>
        <v>71.2063139660564</v>
      </c>
      <c r="L61" s="55">
        <f t="shared" si="15"/>
        <v>0.974094582298994</v>
      </c>
      <c r="M61" s="55">
        <v>97.39</v>
      </c>
      <c r="N61" s="55">
        <v>61.63</v>
      </c>
      <c r="O61" s="55">
        <f t="shared" si="16"/>
        <v>1.5802368976148</v>
      </c>
      <c r="P61" s="55">
        <v>4734.38</v>
      </c>
      <c r="Q61" s="55">
        <f t="shared" si="17"/>
        <v>1.63222963841465</v>
      </c>
      <c r="R61" s="55">
        <v>14.86</v>
      </c>
      <c r="S61" s="55">
        <v>37.16</v>
      </c>
    </row>
    <row r="62" spans="1:19">
      <c r="A62" s="48" t="s">
        <v>101</v>
      </c>
      <c r="B62" s="55">
        <v>66.68</v>
      </c>
      <c r="C62" s="55">
        <v>59.15</v>
      </c>
      <c r="D62" s="46">
        <v>40.19</v>
      </c>
      <c r="E62" s="55">
        <f t="shared" si="11"/>
        <v>1.127303465765</v>
      </c>
      <c r="F62" s="55">
        <v>129.11</v>
      </c>
      <c r="G62" s="55">
        <v>188.87</v>
      </c>
      <c r="H62" s="46">
        <f t="shared" si="12"/>
        <v>106.658603751273</v>
      </c>
      <c r="I62" s="55">
        <v>2462.22</v>
      </c>
      <c r="J62" s="55">
        <f t="shared" si="13"/>
        <v>1.68815176924712</v>
      </c>
      <c r="K62" s="55">
        <f t="shared" si="14"/>
        <v>69.2361805980576</v>
      </c>
      <c r="L62" s="55">
        <f t="shared" si="15"/>
        <v>1.03833504196247</v>
      </c>
      <c r="M62" s="55">
        <v>69.85</v>
      </c>
      <c r="N62" s="55">
        <v>79.23</v>
      </c>
      <c r="O62" s="55">
        <f t="shared" si="16"/>
        <v>0.881610501072826</v>
      </c>
      <c r="P62" s="55">
        <v>4400.16</v>
      </c>
      <c r="Q62" s="55">
        <f t="shared" si="17"/>
        <v>1.27985666126626</v>
      </c>
      <c r="R62" s="55">
        <v>9.4</v>
      </c>
      <c r="S62" s="55">
        <v>35.36</v>
      </c>
    </row>
    <row r="63" spans="1:19">
      <c r="A63" s="48" t="s">
        <v>43</v>
      </c>
      <c r="B63" s="55">
        <v>61.46</v>
      </c>
      <c r="C63" s="55">
        <v>45.83</v>
      </c>
      <c r="D63" s="46" t="s">
        <v>39</v>
      </c>
      <c r="E63" s="55">
        <f t="shared" si="11"/>
        <v>1.34104298494436</v>
      </c>
      <c r="F63" s="55">
        <v>105.72</v>
      </c>
      <c r="G63" s="55" t="s">
        <v>39</v>
      </c>
      <c r="H63" s="55" t="s">
        <v>39</v>
      </c>
      <c r="I63" s="55">
        <v>2173.84</v>
      </c>
      <c r="J63" s="55">
        <f t="shared" si="13"/>
        <v>1.95889090139043</v>
      </c>
      <c r="K63" s="55" t="s">
        <v>39</v>
      </c>
      <c r="L63" s="55" t="s">
        <v>39</v>
      </c>
      <c r="M63" s="55">
        <v>77.06</v>
      </c>
      <c r="N63" s="55">
        <v>58.95</v>
      </c>
      <c r="O63" s="55">
        <f t="shared" si="16"/>
        <v>1.30720949957591</v>
      </c>
      <c r="P63" s="55">
        <v>3612.54</v>
      </c>
      <c r="Q63" s="55">
        <f t="shared" si="17"/>
        <v>1.57310445733396</v>
      </c>
      <c r="R63" s="55">
        <v>13.91</v>
      </c>
      <c r="S63" s="55">
        <v>30.4</v>
      </c>
    </row>
    <row r="64" spans="1:19">
      <c r="A64" s="48" t="s">
        <v>42</v>
      </c>
      <c r="B64" s="55">
        <v>51.25</v>
      </c>
      <c r="C64" s="55">
        <v>51.33</v>
      </c>
      <c r="D64" s="46" t="s">
        <v>39</v>
      </c>
      <c r="E64" s="55">
        <f t="shared" si="11"/>
        <v>0.998441457237483</v>
      </c>
      <c r="F64" s="55" t="s">
        <v>39</v>
      </c>
      <c r="G64" s="55" t="s">
        <v>39</v>
      </c>
      <c r="H64" s="55" t="s">
        <v>39</v>
      </c>
      <c r="I64" s="55" t="s">
        <v>39</v>
      </c>
      <c r="J64" s="55" t="s">
        <v>39</v>
      </c>
      <c r="K64" s="55" t="s">
        <v>39</v>
      </c>
      <c r="L64" s="55" t="s">
        <v>39</v>
      </c>
      <c r="M64" s="55">
        <v>64.49</v>
      </c>
      <c r="N64" s="55">
        <v>73.28</v>
      </c>
      <c r="O64" s="55">
        <f t="shared" si="16"/>
        <v>0.880049126637555</v>
      </c>
      <c r="P64" s="55" t="s">
        <v>39</v>
      </c>
      <c r="Q64" s="55" t="s">
        <v>39</v>
      </c>
      <c r="R64" s="55" t="s">
        <v>39</v>
      </c>
      <c r="S64" s="55" t="s">
        <v>39</v>
      </c>
    </row>
    <row r="65" spans="1:19">
      <c r="A65" s="48" t="s">
        <v>45</v>
      </c>
      <c r="B65" s="55" t="s">
        <v>39</v>
      </c>
      <c r="C65" s="55" t="s">
        <v>39</v>
      </c>
      <c r="D65" s="55" t="s">
        <v>39</v>
      </c>
      <c r="E65" s="55" t="s">
        <v>39</v>
      </c>
      <c r="F65" s="55" t="s">
        <v>39</v>
      </c>
      <c r="G65" s="55" t="s">
        <v>39</v>
      </c>
      <c r="H65" s="55" t="s">
        <v>39</v>
      </c>
      <c r="I65" s="55" t="s">
        <v>39</v>
      </c>
      <c r="J65" s="55" t="s">
        <v>39</v>
      </c>
      <c r="K65" s="55" t="s">
        <v>39</v>
      </c>
      <c r="L65" s="55" t="s">
        <v>39</v>
      </c>
      <c r="M65" s="55">
        <v>83.9</v>
      </c>
      <c r="N65" s="55" t="s">
        <v>39</v>
      </c>
      <c r="O65" s="55" t="s">
        <v>39</v>
      </c>
      <c r="P65" s="55" t="s">
        <v>39</v>
      </c>
      <c r="Q65" s="55" t="s">
        <v>39</v>
      </c>
      <c r="R65" s="55" t="s">
        <v>39</v>
      </c>
      <c r="S65" s="55" t="s">
        <v>39</v>
      </c>
    </row>
    <row r="66" spans="1:19">
      <c r="A66" s="48" t="s">
        <v>62</v>
      </c>
      <c r="B66" s="55">
        <f t="shared" ref="B66:S66" si="18">AVERAGE(B57:B65)</f>
        <v>65.2983333333333</v>
      </c>
      <c r="C66" s="55">
        <f t="shared" si="18"/>
        <v>51.2233333333333</v>
      </c>
      <c r="D66" s="46">
        <f t="shared" si="18"/>
        <v>43.1075</v>
      </c>
      <c r="E66" s="55">
        <f t="shared" si="18"/>
        <v>1.2901999747012</v>
      </c>
      <c r="F66" s="55">
        <f t="shared" si="18"/>
        <v>114.312</v>
      </c>
      <c r="G66" s="55">
        <f t="shared" si="18"/>
        <v>187.5825</v>
      </c>
      <c r="H66" s="46">
        <f t="shared" si="18"/>
        <v>107.768314248423</v>
      </c>
      <c r="I66" s="55">
        <f t="shared" si="18"/>
        <v>2578.264</v>
      </c>
      <c r="J66" s="55">
        <f t="shared" si="18"/>
        <v>1.81733456562141</v>
      </c>
      <c r="K66" s="55">
        <f t="shared" si="18"/>
        <v>67.5844768867196</v>
      </c>
      <c r="L66" s="55">
        <f t="shared" si="18"/>
        <v>0.96975015382309</v>
      </c>
      <c r="M66" s="55">
        <f t="shared" si="18"/>
        <v>81.20375</v>
      </c>
      <c r="N66" s="55">
        <f t="shared" si="18"/>
        <v>70.8583333333333</v>
      </c>
      <c r="O66" s="55">
        <f t="shared" si="18"/>
        <v>1.16076776879921</v>
      </c>
      <c r="P66" s="55">
        <f t="shared" si="18"/>
        <v>4603.754</v>
      </c>
      <c r="Q66" s="55">
        <f t="shared" si="18"/>
        <v>1.48914533536983</v>
      </c>
      <c r="R66" s="55">
        <f t="shared" si="18"/>
        <v>17.8714285714286</v>
      </c>
      <c r="S66" s="55">
        <f t="shared" si="18"/>
        <v>38.916</v>
      </c>
    </row>
    <row r="67" spans="8:19">
      <c r="H67" s="46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</row>
    <row r="68" spans="1:19">
      <c r="A68" s="48" t="s">
        <v>65</v>
      </c>
      <c r="B68" s="55">
        <v>40.39</v>
      </c>
      <c r="C68" s="55">
        <v>47.52</v>
      </c>
      <c r="D68" s="46">
        <v>97.43</v>
      </c>
      <c r="E68" s="55">
        <f t="shared" ref="E68:E74" si="19">B68/C68</f>
        <v>0.849957912457912</v>
      </c>
      <c r="F68" s="55">
        <v>123.58</v>
      </c>
      <c r="G68" s="55">
        <v>167.76</v>
      </c>
      <c r="H68" s="46">
        <f t="shared" ref="H68:H72" si="20">DEGREES(ACOS((F68^2+F69^2-G68^2)/(2*F68*F69)))</f>
        <v>84.8102170430072</v>
      </c>
      <c r="I68" s="55">
        <v>1510.8</v>
      </c>
      <c r="J68" s="55" t="s">
        <v>39</v>
      </c>
      <c r="K68" s="55">
        <f t="shared" ref="K68:K72" si="21">SQRT((F69+F68+G68)/2*((F68+F69+G68)/2-F68)*((F68+F69+G68)/2-F69)*((F68+F69+G68)/2-G68))*2/G68</f>
        <v>91.8355202127871</v>
      </c>
      <c r="L68" s="55" t="s">
        <v>39</v>
      </c>
      <c r="M68" s="55">
        <v>66.76</v>
      </c>
      <c r="N68" s="55">
        <v>72.48</v>
      </c>
      <c r="O68" s="55">
        <f t="shared" ref="O68:O74" si="22">M68/N68</f>
        <v>0.921081677704194</v>
      </c>
      <c r="P68" s="55">
        <v>3784.29</v>
      </c>
      <c r="Q68" s="55" t="s">
        <v>39</v>
      </c>
      <c r="R68" s="55" t="s">
        <v>39</v>
      </c>
      <c r="S68" s="55" t="s">
        <v>39</v>
      </c>
    </row>
    <row r="69" spans="1:19">
      <c r="A69" s="48" t="s">
        <v>64</v>
      </c>
      <c r="B69" s="55">
        <v>36.86</v>
      </c>
      <c r="C69" s="55">
        <v>51.12</v>
      </c>
      <c r="D69" s="46">
        <v>60.62</v>
      </c>
      <c r="E69" s="55">
        <f t="shared" si="19"/>
        <v>0.721048513302034</v>
      </c>
      <c r="F69" s="55">
        <v>125.18</v>
      </c>
      <c r="G69" s="55">
        <v>172.87</v>
      </c>
      <c r="H69" s="46">
        <f t="shared" si="20"/>
        <v>93.9949199996009</v>
      </c>
      <c r="I69" s="55">
        <v>1513.23</v>
      </c>
      <c r="J69" s="55" t="s">
        <v>39</v>
      </c>
      <c r="K69" s="55">
        <f t="shared" si="21"/>
        <v>80.0528764897791</v>
      </c>
      <c r="L69" s="55" t="s">
        <v>39</v>
      </c>
      <c r="M69" s="55">
        <v>56.48</v>
      </c>
      <c r="N69" s="55">
        <v>71.08</v>
      </c>
      <c r="O69" s="55">
        <f t="shared" si="22"/>
        <v>0.794597636465954</v>
      </c>
      <c r="P69" s="55">
        <v>3114.9</v>
      </c>
      <c r="Q69" s="55" t="s">
        <v>39</v>
      </c>
      <c r="R69" s="55" t="s">
        <v>39</v>
      </c>
      <c r="S69" s="55" t="s">
        <v>39</v>
      </c>
    </row>
    <row r="70" spans="1:19">
      <c r="A70" s="48" t="s">
        <v>102</v>
      </c>
      <c r="B70" s="55">
        <v>39.84</v>
      </c>
      <c r="C70" s="55">
        <v>50.16</v>
      </c>
      <c r="D70" s="46">
        <v>40.43</v>
      </c>
      <c r="E70" s="55">
        <f t="shared" si="19"/>
        <v>0.794258373205742</v>
      </c>
      <c r="F70" s="55">
        <v>110.82</v>
      </c>
      <c r="G70" s="55">
        <v>171.94</v>
      </c>
      <c r="H70" s="46">
        <f t="shared" si="20"/>
        <v>88.285288321256</v>
      </c>
      <c r="I70" s="55">
        <v>1819.73</v>
      </c>
      <c r="J70" s="55" t="s">
        <v>39</v>
      </c>
      <c r="K70" s="55">
        <f t="shared" si="21"/>
        <v>86.8562410040703</v>
      </c>
      <c r="L70" s="55" t="s">
        <v>39</v>
      </c>
      <c r="M70" s="55">
        <v>64.52</v>
      </c>
      <c r="N70" s="55">
        <v>67.05</v>
      </c>
      <c r="O70" s="55">
        <f t="shared" si="22"/>
        <v>0.962266964951529</v>
      </c>
      <c r="P70" s="55">
        <v>3596.71</v>
      </c>
      <c r="Q70" s="55" t="s">
        <v>39</v>
      </c>
      <c r="R70" s="55" t="s">
        <v>39</v>
      </c>
      <c r="S70" s="55" t="s">
        <v>39</v>
      </c>
    </row>
    <row r="71" spans="1:25">
      <c r="A71" s="48" t="s">
        <v>66</v>
      </c>
      <c r="B71" s="55">
        <v>34.41</v>
      </c>
      <c r="C71" s="55">
        <v>52.47</v>
      </c>
      <c r="D71" s="46">
        <v>60.09</v>
      </c>
      <c r="E71" s="55">
        <f t="shared" si="19"/>
        <v>0.655803316180675</v>
      </c>
      <c r="F71" s="55">
        <v>134.82</v>
      </c>
      <c r="G71" s="55">
        <v>180.52</v>
      </c>
      <c r="H71" s="46">
        <f t="shared" si="20"/>
        <v>99.4048140863435</v>
      </c>
      <c r="I71" s="55">
        <v>1446.06</v>
      </c>
      <c r="J71" s="55" t="s">
        <v>39</v>
      </c>
      <c r="K71" s="55">
        <f t="shared" si="21"/>
        <v>73.6951084623283</v>
      </c>
      <c r="L71" s="55" t="s">
        <v>39</v>
      </c>
      <c r="M71" s="55">
        <v>55.5</v>
      </c>
      <c r="N71" s="55">
        <v>75.87</v>
      </c>
      <c r="O71" s="55">
        <f t="shared" si="22"/>
        <v>0.731514432582048</v>
      </c>
      <c r="P71" s="55">
        <v>3372.73</v>
      </c>
      <c r="Q71" s="55" t="s">
        <v>39</v>
      </c>
      <c r="R71" s="55" t="s">
        <v>39</v>
      </c>
      <c r="S71" s="55" t="s">
        <v>39</v>
      </c>
      <c r="T71" s="58"/>
      <c r="U71" s="94"/>
      <c r="V71" s="58"/>
      <c r="W71" s="58"/>
      <c r="X71" s="57"/>
      <c r="Y71" s="57"/>
    </row>
    <row r="72" spans="1:25">
      <c r="A72" s="48" t="s">
        <v>67</v>
      </c>
      <c r="B72" s="55">
        <v>37.26</v>
      </c>
      <c r="C72" s="55">
        <v>43.36</v>
      </c>
      <c r="D72" s="46">
        <v>47.09</v>
      </c>
      <c r="E72" s="55">
        <f t="shared" si="19"/>
        <v>0.859317343173432</v>
      </c>
      <c r="F72" s="55">
        <v>100.02</v>
      </c>
      <c r="G72" s="55">
        <v>170.07</v>
      </c>
      <c r="H72" s="46">
        <f t="shared" si="20"/>
        <v>95.2755270141533</v>
      </c>
      <c r="I72" s="55">
        <v>1312.5</v>
      </c>
      <c r="J72" s="55" t="s">
        <v>39</v>
      </c>
      <c r="K72" s="55">
        <f t="shared" si="21"/>
        <v>75.3458147915931</v>
      </c>
      <c r="L72" s="55" t="s">
        <v>39</v>
      </c>
      <c r="M72" s="55">
        <v>70.21</v>
      </c>
      <c r="N72" s="55">
        <v>61.18</v>
      </c>
      <c r="O72" s="55">
        <f t="shared" si="22"/>
        <v>1.14759725400458</v>
      </c>
      <c r="P72" s="55">
        <v>2900.56</v>
      </c>
      <c r="Q72" s="55" t="s">
        <v>39</v>
      </c>
      <c r="R72" s="55" t="s">
        <v>39</v>
      </c>
      <c r="S72" s="55" t="s">
        <v>39</v>
      </c>
      <c r="T72" s="55"/>
      <c r="U72" s="71"/>
      <c r="V72" s="55"/>
      <c r="W72" s="55"/>
      <c r="X72" s="63"/>
      <c r="Y72" s="63"/>
    </row>
    <row r="73" spans="1:25">
      <c r="A73" s="48" t="s">
        <v>103</v>
      </c>
      <c r="B73" s="55">
        <v>34.87</v>
      </c>
      <c r="C73" s="55">
        <v>52.12</v>
      </c>
      <c r="D73" s="55" t="s">
        <v>39</v>
      </c>
      <c r="E73" s="55">
        <f t="shared" si="19"/>
        <v>0.66903300076746</v>
      </c>
      <c r="F73" s="55">
        <v>128.66</v>
      </c>
      <c r="G73" s="55" t="s">
        <v>39</v>
      </c>
      <c r="H73" s="55" t="s">
        <v>39</v>
      </c>
      <c r="I73" s="55">
        <v>1458.53</v>
      </c>
      <c r="J73" s="55" t="s">
        <v>39</v>
      </c>
      <c r="K73" s="55" t="s">
        <v>39</v>
      </c>
      <c r="L73" s="55" t="s">
        <v>39</v>
      </c>
      <c r="M73" s="55">
        <v>54.85</v>
      </c>
      <c r="N73" s="55">
        <v>77.32</v>
      </c>
      <c r="O73" s="55">
        <f t="shared" si="22"/>
        <v>0.7093895499224</v>
      </c>
      <c r="P73" s="55">
        <v>3438.01</v>
      </c>
      <c r="Q73" s="55" t="s">
        <v>39</v>
      </c>
      <c r="R73" s="55" t="s">
        <v>39</v>
      </c>
      <c r="S73" s="55" t="s">
        <v>39</v>
      </c>
      <c r="T73" s="55"/>
      <c r="U73" s="71"/>
      <c r="V73" s="55"/>
      <c r="W73" s="55"/>
      <c r="X73" s="63"/>
      <c r="Y73" s="63"/>
    </row>
    <row r="74" spans="1:25">
      <c r="A74" s="48" t="s">
        <v>69</v>
      </c>
      <c r="B74" s="55">
        <v>32.77</v>
      </c>
      <c r="C74" s="55">
        <v>44.97</v>
      </c>
      <c r="D74" s="55" t="s">
        <v>39</v>
      </c>
      <c r="E74" s="55">
        <f t="shared" si="19"/>
        <v>0.728708027573938</v>
      </c>
      <c r="F74" s="55" t="s">
        <v>39</v>
      </c>
      <c r="G74" s="55" t="s">
        <v>39</v>
      </c>
      <c r="H74" s="55" t="s">
        <v>39</v>
      </c>
      <c r="I74" s="55">
        <v>1109.73</v>
      </c>
      <c r="J74" s="55" t="s">
        <v>39</v>
      </c>
      <c r="K74" s="55" t="s">
        <v>39</v>
      </c>
      <c r="L74" s="55" t="s">
        <v>39</v>
      </c>
      <c r="M74" s="55">
        <v>49.88</v>
      </c>
      <c r="N74" s="55">
        <v>57.07</v>
      </c>
      <c r="O74" s="55">
        <f t="shared" si="22"/>
        <v>0.874014368319608</v>
      </c>
      <c r="P74" s="55">
        <v>2296.44</v>
      </c>
      <c r="Q74" s="55" t="s">
        <v>39</v>
      </c>
      <c r="R74" s="55" t="s">
        <v>39</v>
      </c>
      <c r="S74" s="55" t="s">
        <v>39</v>
      </c>
      <c r="T74" s="55"/>
      <c r="U74" s="71"/>
      <c r="V74" s="55"/>
      <c r="W74" s="55"/>
      <c r="X74" s="63"/>
      <c r="Y74" s="63"/>
    </row>
    <row r="75" spans="1:25">
      <c r="A75" s="48" t="s">
        <v>88</v>
      </c>
      <c r="B75" s="55">
        <f t="shared" ref="B75:I75" si="23">AVERAGE(B68:B74)</f>
        <v>36.6285714285714</v>
      </c>
      <c r="C75" s="55">
        <f t="shared" si="23"/>
        <v>48.8171428571429</v>
      </c>
      <c r="D75" s="46">
        <f t="shared" si="23"/>
        <v>61.132</v>
      </c>
      <c r="E75" s="55">
        <f t="shared" si="23"/>
        <v>0.754018069523028</v>
      </c>
      <c r="F75" s="55">
        <f t="shared" si="23"/>
        <v>120.513333333333</v>
      </c>
      <c r="G75" s="55">
        <f t="shared" si="23"/>
        <v>172.632</v>
      </c>
      <c r="H75" s="46">
        <f t="shared" si="23"/>
        <v>92.3541532928722</v>
      </c>
      <c r="I75" s="55">
        <f t="shared" si="23"/>
        <v>1452.94</v>
      </c>
      <c r="J75" s="55" t="s">
        <v>39</v>
      </c>
      <c r="K75" s="55">
        <f t="shared" ref="K75:P75" si="24">AVERAGE(K68:K74)</f>
        <v>81.5571121921115</v>
      </c>
      <c r="L75" s="55" t="s">
        <v>39</v>
      </c>
      <c r="M75" s="55">
        <f t="shared" si="24"/>
        <v>59.7428571428571</v>
      </c>
      <c r="N75" s="55">
        <f t="shared" si="24"/>
        <v>68.8642857142857</v>
      </c>
      <c r="O75" s="55">
        <f t="shared" si="24"/>
        <v>0.87720884056433</v>
      </c>
      <c r="P75" s="55">
        <f t="shared" si="24"/>
        <v>3214.80571428571</v>
      </c>
      <c r="Q75" s="55" t="s">
        <v>39</v>
      </c>
      <c r="R75" s="55" t="s">
        <v>39</v>
      </c>
      <c r="S75" s="55" t="s">
        <v>39</v>
      </c>
      <c r="T75" s="55"/>
      <c r="U75" s="71"/>
      <c r="V75" s="55"/>
      <c r="W75" s="55"/>
      <c r="X75" s="63"/>
      <c r="Y75" s="63"/>
    </row>
    <row r="76" spans="8:25">
      <c r="H76" s="46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71"/>
      <c r="V76" s="55"/>
      <c r="W76" s="55"/>
      <c r="X76" s="63"/>
      <c r="Y76" s="63"/>
    </row>
    <row r="77" spans="8:25">
      <c r="H77" s="46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71"/>
      <c r="V77" s="55"/>
      <c r="W77" s="55"/>
      <c r="X77" s="63"/>
      <c r="Y77" s="63"/>
    </row>
    <row r="78" spans="1:25">
      <c r="A78" s="48" t="s">
        <v>104</v>
      </c>
      <c r="B78" s="55"/>
      <c r="C78" s="55"/>
      <c r="D78" s="46"/>
      <c r="E78" s="55"/>
      <c r="F78" s="55"/>
      <c r="G78" s="55"/>
      <c r="H78" s="46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71"/>
      <c r="V78" s="55"/>
      <c r="W78" s="55"/>
      <c r="X78" s="63"/>
      <c r="Y78" s="63"/>
    </row>
    <row r="79" spans="8:25">
      <c r="H79" s="46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71"/>
      <c r="V79" s="55"/>
      <c r="W79" s="55"/>
      <c r="X79" s="63"/>
      <c r="Y79" s="63"/>
    </row>
    <row r="80" spans="8:25">
      <c r="H80" s="46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71"/>
      <c r="V80" s="55"/>
      <c r="W80" s="55"/>
      <c r="X80" s="63"/>
      <c r="Y80" s="63"/>
    </row>
    <row r="81" spans="8:25">
      <c r="H81" s="46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71"/>
      <c r="V81" s="55"/>
      <c r="W81" s="55"/>
      <c r="X81" s="63"/>
      <c r="Y81" s="63"/>
    </row>
    <row r="82" spans="8:19">
      <c r="H82" s="46"/>
      <c r="K82" s="55"/>
      <c r="L82" s="55"/>
      <c r="M82" s="55"/>
      <c r="N82" s="55"/>
      <c r="O82" s="55"/>
      <c r="P82" s="55"/>
      <c r="Q82" s="55"/>
      <c r="R82" s="55"/>
      <c r="S82" s="55"/>
    </row>
    <row r="83" spans="8:19">
      <c r="H83" s="46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</row>
    <row r="84" spans="8:19">
      <c r="H84" s="4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</row>
    <row r="85" spans="8:19">
      <c r="H85" s="46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</row>
    <row r="86" spans="8:19">
      <c r="H86" s="46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</row>
    <row r="87" spans="8:19">
      <c r="H87" s="46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</row>
    <row r="88" spans="8:19">
      <c r="H88" s="46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</row>
    <row r="89" spans="8:19">
      <c r="H89" s="46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</row>
  </sheetData>
  <pageMargins left="0.7" right="0.7" top="0.75" bottom="0.75" header="0.3" footer="0.3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2"/>
  <sheetViews>
    <sheetView zoomScale="60" zoomScaleNormal="60" topLeftCell="A22" workbookViewId="0">
      <selection activeCell="H42" sqref="H42"/>
    </sheetView>
  </sheetViews>
  <sheetFormatPr defaultColWidth="8.90909090909091" defaultRowHeight="14"/>
  <cols>
    <col min="1" max="1" width="14.7272727272727" style="48" customWidth="1"/>
    <col min="2" max="3" width="9" style="48" customWidth="1"/>
    <col min="4" max="4" width="10" style="48" customWidth="1"/>
    <col min="5" max="5" width="9" style="48" customWidth="1"/>
    <col min="6" max="6" width="10" style="48" customWidth="1"/>
    <col min="7" max="9" width="9" style="48" customWidth="1"/>
    <col min="10" max="10" width="10" style="48" customWidth="1"/>
    <col min="11" max="11" width="9" style="48" customWidth="1"/>
    <col min="12" max="12" width="11.2727272727273" style="48" customWidth="1"/>
    <col min="13" max="13" width="11.9090909090909" style="48" customWidth="1"/>
    <col min="14" max="14" width="9.45454545454546" style="55" customWidth="1"/>
    <col min="15" max="16384" width="8.90909090909091" style="48"/>
  </cols>
  <sheetData>
    <row r="1" s="49" customFormat="1" spans="1:14">
      <c r="A1" s="49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2"/>
    </row>
    <row r="2" s="53" customFormat="1" spans="2:18">
      <c r="B2" s="57" t="s">
        <v>0</v>
      </c>
      <c r="C2" s="57" t="s">
        <v>2</v>
      </c>
      <c r="D2" s="58" t="s">
        <v>4</v>
      </c>
      <c r="E2" s="59" t="s">
        <v>10</v>
      </c>
      <c r="F2" s="59" t="s">
        <v>12</v>
      </c>
      <c r="G2" s="59" t="s">
        <v>14</v>
      </c>
      <c r="H2" s="57" t="s">
        <v>18</v>
      </c>
      <c r="I2" s="57" t="s">
        <v>20</v>
      </c>
      <c r="J2" s="59" t="s">
        <v>22</v>
      </c>
      <c r="K2" s="59" t="s">
        <v>16</v>
      </c>
      <c r="L2" s="59" t="s">
        <v>6</v>
      </c>
      <c r="M2" s="68" t="s">
        <v>8</v>
      </c>
      <c r="N2" s="59" t="s">
        <v>28</v>
      </c>
      <c r="O2" s="58"/>
      <c r="P2" s="68"/>
      <c r="Q2" s="68"/>
      <c r="R2" s="68"/>
    </row>
    <row r="3" ht="15.5" spans="1:13">
      <c r="A3" s="65" t="s">
        <v>105</v>
      </c>
      <c r="B3" s="66">
        <v>30.32</v>
      </c>
      <c r="C3" s="66">
        <v>32.04</v>
      </c>
      <c r="D3" s="66">
        <f>B3/C3</f>
        <v>0.946317103620474</v>
      </c>
      <c r="E3" s="74">
        <v>55.89</v>
      </c>
      <c r="F3" s="74">
        <v>23.47</v>
      </c>
      <c r="G3" s="74">
        <f>E3+F3</f>
        <v>79.36</v>
      </c>
      <c r="H3" s="66">
        <v>114.86</v>
      </c>
      <c r="I3" s="66">
        <v>206.73</v>
      </c>
      <c r="J3" s="67">
        <f>DEGREES(ACOS((H4^2+H3^2-I3^2)/(2*H3*H4)))</f>
        <v>175.912167245791</v>
      </c>
      <c r="K3" s="65">
        <v>27</v>
      </c>
      <c r="L3" s="70">
        <f>9.29/30.82</f>
        <v>0.301427644386762</v>
      </c>
      <c r="M3" s="70"/>
    </row>
    <row r="4" ht="15.5" spans="1:13">
      <c r="A4" s="65" t="s">
        <v>106</v>
      </c>
      <c r="B4" s="66">
        <v>32.4</v>
      </c>
      <c r="C4" s="66">
        <v>24.03</v>
      </c>
      <c r="D4" s="66">
        <f t="shared" ref="D4:D11" si="0">B4/C4</f>
        <v>1.34831460674157</v>
      </c>
      <c r="E4" s="65">
        <v>27</v>
      </c>
      <c r="F4" s="65">
        <v>33</v>
      </c>
      <c r="G4" s="67">
        <f t="shared" ref="G4:G11" si="1">E4+F4</f>
        <v>60</v>
      </c>
      <c r="H4" s="66">
        <v>92</v>
      </c>
      <c r="I4" s="63" t="s">
        <v>39</v>
      </c>
      <c r="J4" s="63" t="s">
        <v>39</v>
      </c>
      <c r="K4" s="63" t="s">
        <v>39</v>
      </c>
      <c r="L4" s="70">
        <f>11.22/23.13</f>
        <v>0.485084306095979</v>
      </c>
      <c r="M4" s="70"/>
    </row>
    <row r="5" ht="15.5" spans="1:13">
      <c r="A5" s="65" t="s">
        <v>107</v>
      </c>
      <c r="B5" s="66">
        <v>31.71</v>
      </c>
      <c r="C5" s="66">
        <v>25.03</v>
      </c>
      <c r="D5" s="66">
        <f t="shared" si="0"/>
        <v>1.26687974430683</v>
      </c>
      <c r="E5" s="74">
        <v>35.86</v>
      </c>
      <c r="F5" s="74">
        <v>36.2</v>
      </c>
      <c r="G5" s="74">
        <f t="shared" si="1"/>
        <v>72.06</v>
      </c>
      <c r="H5" s="75" t="s">
        <v>39</v>
      </c>
      <c r="I5" s="75" t="s">
        <v>39</v>
      </c>
      <c r="J5" s="75" t="s">
        <v>39</v>
      </c>
      <c r="K5" s="75" t="s">
        <v>39</v>
      </c>
      <c r="L5" s="70">
        <f>14.43/24.17</f>
        <v>0.597021100537857</v>
      </c>
      <c r="M5" s="70"/>
    </row>
    <row r="6" ht="15.5" spans="1:13">
      <c r="A6" s="65" t="s">
        <v>108</v>
      </c>
      <c r="B6" s="66">
        <f t="shared" ref="B6:H6" si="2">AVERAGE(B3:B5)</f>
        <v>31.4766666666667</v>
      </c>
      <c r="C6" s="66">
        <f t="shared" si="2"/>
        <v>27.0333333333333</v>
      </c>
      <c r="D6" s="66">
        <f t="shared" si="2"/>
        <v>1.18717048488963</v>
      </c>
      <c r="E6" s="67">
        <f t="shared" si="2"/>
        <v>39.5833333333333</v>
      </c>
      <c r="F6" s="67">
        <f t="shared" si="2"/>
        <v>30.89</v>
      </c>
      <c r="G6" s="67">
        <f t="shared" si="2"/>
        <v>70.4733333333333</v>
      </c>
      <c r="H6" s="66">
        <f t="shared" si="2"/>
        <v>103.43</v>
      </c>
      <c r="I6" s="66">
        <v>206.7</v>
      </c>
      <c r="J6" s="65">
        <v>176</v>
      </c>
      <c r="K6" s="65">
        <v>27</v>
      </c>
      <c r="L6" s="70">
        <f>AVERAGE(L3:L5)</f>
        <v>0.461177683673533</v>
      </c>
      <c r="M6" s="70"/>
    </row>
    <row r="7" ht="15.5" spans="1:13">
      <c r="A7" s="65"/>
      <c r="B7" s="66"/>
      <c r="C7" s="66"/>
      <c r="D7" s="66"/>
      <c r="E7" s="67"/>
      <c r="F7" s="67"/>
      <c r="G7" s="67"/>
      <c r="H7" s="66"/>
      <c r="I7" s="66"/>
      <c r="J7" s="67"/>
      <c r="K7" s="67"/>
      <c r="L7" s="70"/>
      <c r="M7" s="70"/>
    </row>
    <row r="8" s="48" customFormat="1" ht="15.5" spans="1:18">
      <c r="A8" s="65" t="s">
        <v>109</v>
      </c>
      <c r="B8" s="75" t="s">
        <v>39</v>
      </c>
      <c r="C8" s="75" t="s">
        <v>39</v>
      </c>
      <c r="D8" s="75" t="s">
        <v>39</v>
      </c>
      <c r="E8" s="75" t="s">
        <v>39</v>
      </c>
      <c r="F8" s="75" t="s">
        <v>39</v>
      </c>
      <c r="G8" s="75" t="s">
        <v>39</v>
      </c>
      <c r="H8" s="66">
        <v>144</v>
      </c>
      <c r="I8" s="66">
        <v>255.1</v>
      </c>
      <c r="J8" s="67">
        <f>DEGREES(ACOS((H9^2+H8^2-I8^2)/(2*H8*H9)))</f>
        <v>163.284873239397</v>
      </c>
      <c r="K8" s="65">
        <v>-8</v>
      </c>
      <c r="L8" s="75" t="s">
        <v>39</v>
      </c>
      <c r="M8" s="75" t="s">
        <v>39</v>
      </c>
      <c r="O8" s="55"/>
      <c r="P8" s="56"/>
      <c r="Q8" s="56"/>
      <c r="R8" s="56"/>
    </row>
    <row r="9" s="48" customFormat="1" ht="15.5" spans="1:18">
      <c r="A9" s="65" t="s">
        <v>110</v>
      </c>
      <c r="B9" s="66">
        <v>23</v>
      </c>
      <c r="C9" s="66">
        <v>27.9</v>
      </c>
      <c r="D9" s="66">
        <f t="shared" si="0"/>
        <v>0.824372759856631</v>
      </c>
      <c r="E9" s="67">
        <v>46</v>
      </c>
      <c r="F9" s="67">
        <v>48</v>
      </c>
      <c r="G9" s="67">
        <f t="shared" si="1"/>
        <v>94</v>
      </c>
      <c r="H9" s="66">
        <v>113.8</v>
      </c>
      <c r="I9" s="66">
        <v>240.6</v>
      </c>
      <c r="J9" s="67">
        <f>DEGREES(ACOS((H10^2+H9^2-I9^2)/(2*H9*H10)))</f>
        <v>169.552762300997</v>
      </c>
      <c r="K9" s="67">
        <v>-22</v>
      </c>
      <c r="L9" s="70">
        <f>10.2/26.9</f>
        <v>0.379182156133829</v>
      </c>
      <c r="M9" s="70">
        <f>10.1/27.9</f>
        <v>0.362007168458781</v>
      </c>
      <c r="O9" s="55"/>
      <c r="P9" s="56"/>
      <c r="Q9" s="56"/>
      <c r="R9" s="56"/>
    </row>
    <row r="10" s="48" customFormat="1" ht="15.5" spans="1:18">
      <c r="A10" s="65" t="s">
        <v>111</v>
      </c>
      <c r="B10" s="66">
        <v>23.1</v>
      </c>
      <c r="C10" s="66">
        <v>31.6</v>
      </c>
      <c r="D10" s="66">
        <f t="shared" si="0"/>
        <v>0.731012658227848</v>
      </c>
      <c r="E10" s="67">
        <v>44</v>
      </c>
      <c r="F10" s="67">
        <v>53</v>
      </c>
      <c r="G10" s="67">
        <f t="shared" si="1"/>
        <v>97</v>
      </c>
      <c r="H10" s="66">
        <v>127.8</v>
      </c>
      <c r="I10" s="75" t="s">
        <v>39</v>
      </c>
      <c r="J10" s="75" t="s">
        <v>39</v>
      </c>
      <c r="K10" s="75" t="s">
        <v>39</v>
      </c>
      <c r="L10" s="70">
        <f>8.9/30.5</f>
        <v>0.291803278688525</v>
      </c>
      <c r="M10" s="70">
        <f>9.1/31.6</f>
        <v>0.287974683544304</v>
      </c>
      <c r="O10" s="55"/>
      <c r="P10" s="56"/>
      <c r="Q10" s="56"/>
      <c r="R10" s="56"/>
    </row>
    <row r="11" s="48" customFormat="1" ht="15.5" spans="1:18">
      <c r="A11" s="65" t="s">
        <v>112</v>
      </c>
      <c r="B11" s="66">
        <v>24.9</v>
      </c>
      <c r="C11" s="66">
        <v>25.3</v>
      </c>
      <c r="D11" s="66">
        <f t="shared" si="0"/>
        <v>0.984189723320158</v>
      </c>
      <c r="E11" s="67">
        <v>35</v>
      </c>
      <c r="F11" s="67">
        <v>47</v>
      </c>
      <c r="G11" s="67">
        <f t="shared" si="1"/>
        <v>82</v>
      </c>
      <c r="H11" s="75" t="s">
        <v>39</v>
      </c>
      <c r="I11" s="75" t="s">
        <v>39</v>
      </c>
      <c r="J11" s="75" t="s">
        <v>39</v>
      </c>
      <c r="K11" s="75" t="s">
        <v>39</v>
      </c>
      <c r="L11" s="70">
        <f>9.4/24</f>
        <v>0.391666666666667</v>
      </c>
      <c r="M11" s="70">
        <f>9.9/25.3</f>
        <v>0.391304347826087</v>
      </c>
      <c r="O11" s="55"/>
      <c r="P11" s="56"/>
      <c r="Q11" s="56"/>
      <c r="R11" s="56"/>
    </row>
    <row r="12" s="48" customFormat="1" ht="15.5" spans="1:18">
      <c r="A12" s="65" t="s">
        <v>108</v>
      </c>
      <c r="B12" s="66">
        <f t="shared" ref="B12:J12" si="3">AVERAGE(B8:B11)</f>
        <v>23.6666666666667</v>
      </c>
      <c r="C12" s="66">
        <f t="shared" si="3"/>
        <v>28.2666666666667</v>
      </c>
      <c r="D12" s="66">
        <f t="shared" si="3"/>
        <v>0.846525047134879</v>
      </c>
      <c r="E12" s="67">
        <f t="shared" si="3"/>
        <v>41.6666666666667</v>
      </c>
      <c r="F12" s="67">
        <f t="shared" si="3"/>
        <v>49.3333333333333</v>
      </c>
      <c r="G12" s="67">
        <f t="shared" si="3"/>
        <v>91</v>
      </c>
      <c r="H12" s="66">
        <f t="shared" si="3"/>
        <v>128.533333333333</v>
      </c>
      <c r="I12" s="66">
        <f t="shared" si="3"/>
        <v>247.85</v>
      </c>
      <c r="J12" s="67">
        <f t="shared" si="3"/>
        <v>166.418817770197</v>
      </c>
      <c r="K12" s="67" t="s">
        <v>113</v>
      </c>
      <c r="L12" s="70">
        <f>AVERAGE(L8:L11)</f>
        <v>0.354217367163007</v>
      </c>
      <c r="M12" s="70">
        <f>AVERAGE(M8:M11)</f>
        <v>0.347095399943057</v>
      </c>
      <c r="O12" s="55"/>
      <c r="P12" s="56"/>
      <c r="Q12" s="56"/>
      <c r="R12" s="56"/>
    </row>
    <row r="13" s="48" customFormat="1" ht="15.5" spans="1:18">
      <c r="A13" s="65"/>
      <c r="B13" s="66"/>
      <c r="C13" s="66"/>
      <c r="D13" s="66"/>
      <c r="E13" s="67"/>
      <c r="F13" s="67"/>
      <c r="G13" s="67"/>
      <c r="H13" s="66"/>
      <c r="I13" s="66"/>
      <c r="J13" s="67"/>
      <c r="K13" s="67"/>
      <c r="L13" s="70"/>
      <c r="M13" s="70"/>
      <c r="O13" s="55"/>
      <c r="P13" s="56"/>
      <c r="Q13" s="56"/>
      <c r="R13" s="56"/>
    </row>
    <row r="14" ht="15.5" spans="1:13">
      <c r="A14" s="65" t="s">
        <v>114</v>
      </c>
      <c r="B14" s="75" t="s">
        <v>39</v>
      </c>
      <c r="C14" s="75" t="s">
        <v>39</v>
      </c>
      <c r="D14" s="75" t="s">
        <v>39</v>
      </c>
      <c r="E14" s="75" t="s">
        <v>39</v>
      </c>
      <c r="F14" s="75" t="s">
        <v>39</v>
      </c>
      <c r="G14" s="75" t="s">
        <v>39</v>
      </c>
      <c r="H14" s="66">
        <v>104.2</v>
      </c>
      <c r="I14" s="66">
        <v>226.7</v>
      </c>
      <c r="J14" s="67">
        <v>177</v>
      </c>
      <c r="K14" s="67">
        <v>-6</v>
      </c>
      <c r="L14" s="75" t="s">
        <v>39</v>
      </c>
      <c r="M14" s="75"/>
    </row>
    <row r="15" ht="15.5" spans="1:13">
      <c r="A15" s="65" t="s">
        <v>115</v>
      </c>
      <c r="B15" s="66">
        <v>28.8</v>
      </c>
      <c r="C15" s="66">
        <v>22.6</v>
      </c>
      <c r="D15" s="66">
        <f t="shared" ref="D15:D22" si="4">B15/C15</f>
        <v>1.27433628318584</v>
      </c>
      <c r="E15" s="67">
        <v>34</v>
      </c>
      <c r="F15" s="67">
        <v>28</v>
      </c>
      <c r="G15" s="67">
        <f t="shared" ref="G15:G22" si="5">E15+F15</f>
        <v>62</v>
      </c>
      <c r="H15" s="66">
        <v>122.4</v>
      </c>
      <c r="I15" s="75" t="s">
        <v>39</v>
      </c>
      <c r="J15" s="75" t="s">
        <v>39</v>
      </c>
      <c r="K15" s="75" t="s">
        <v>39</v>
      </c>
      <c r="L15" s="70">
        <f>8.9/21.7</f>
        <v>0.410138248847926</v>
      </c>
      <c r="M15" s="70"/>
    </row>
    <row r="16" ht="15.5" spans="1:13">
      <c r="A16" s="65" t="s">
        <v>116</v>
      </c>
      <c r="B16" s="66">
        <v>31.1</v>
      </c>
      <c r="C16" s="75" t="s">
        <v>39</v>
      </c>
      <c r="D16" s="75" t="s">
        <v>39</v>
      </c>
      <c r="E16" s="76" t="s">
        <v>39</v>
      </c>
      <c r="F16" s="76" t="s">
        <v>39</v>
      </c>
      <c r="G16" s="76" t="s">
        <v>39</v>
      </c>
      <c r="H16" s="75" t="s">
        <v>39</v>
      </c>
      <c r="I16" s="75" t="s">
        <v>39</v>
      </c>
      <c r="J16" s="75" t="s">
        <v>39</v>
      </c>
      <c r="K16" s="75" t="s">
        <v>39</v>
      </c>
      <c r="L16" s="75" t="s">
        <v>39</v>
      </c>
      <c r="M16" s="75"/>
    </row>
    <row r="17" ht="15.5" spans="1:13">
      <c r="A17" s="65" t="s">
        <v>108</v>
      </c>
      <c r="B17" s="66">
        <f t="shared" ref="B17:J17" si="6">AVERAGE(B14:B16)</f>
        <v>29.95</v>
      </c>
      <c r="C17" s="66">
        <f t="shared" si="6"/>
        <v>22.6</v>
      </c>
      <c r="D17" s="66">
        <f t="shared" si="6"/>
        <v>1.27433628318584</v>
      </c>
      <c r="E17" s="67">
        <f t="shared" si="6"/>
        <v>34</v>
      </c>
      <c r="F17" s="67">
        <f t="shared" si="6"/>
        <v>28</v>
      </c>
      <c r="G17" s="67">
        <f t="shared" si="6"/>
        <v>62</v>
      </c>
      <c r="H17" s="66">
        <f t="shared" si="6"/>
        <v>113.3</v>
      </c>
      <c r="I17" s="66">
        <f t="shared" si="6"/>
        <v>226.7</v>
      </c>
      <c r="J17" s="67">
        <f t="shared" si="6"/>
        <v>177</v>
      </c>
      <c r="K17" s="67" t="s">
        <v>117</v>
      </c>
      <c r="L17" s="70">
        <f>AVERAGE(L14:L16)</f>
        <v>0.410138248847926</v>
      </c>
      <c r="M17" s="70"/>
    </row>
    <row r="18" ht="15.5" spans="1:13">
      <c r="A18" s="65"/>
      <c r="B18" s="66"/>
      <c r="C18" s="66"/>
      <c r="D18" s="66"/>
      <c r="E18" s="67"/>
      <c r="F18" s="67"/>
      <c r="G18" s="67"/>
      <c r="H18" s="66"/>
      <c r="I18" s="66"/>
      <c r="J18" s="67"/>
      <c r="K18" s="67"/>
      <c r="L18" s="70"/>
      <c r="M18" s="70"/>
    </row>
    <row r="19" s="48" customFormat="1" ht="15.5" spans="1:18">
      <c r="A19" s="65" t="s">
        <v>118</v>
      </c>
      <c r="B19" s="65">
        <v>19.1</v>
      </c>
      <c r="C19" s="66">
        <v>29.94</v>
      </c>
      <c r="D19" s="66">
        <f t="shared" si="4"/>
        <v>0.637942551770207</v>
      </c>
      <c r="E19" s="65">
        <v>45</v>
      </c>
      <c r="F19" s="65">
        <v>41</v>
      </c>
      <c r="G19" s="65">
        <f t="shared" si="5"/>
        <v>86</v>
      </c>
      <c r="H19" s="65">
        <v>100.9</v>
      </c>
      <c r="I19" s="66">
        <v>209.82</v>
      </c>
      <c r="J19" s="67">
        <f>DEGREES(ACOS((H20^2+H19^2-I19^2)/(2*H19*H20)))</f>
        <v>153.013519843578</v>
      </c>
      <c r="K19" s="65">
        <v>10</v>
      </c>
      <c r="L19" s="70">
        <f>8.79/28.68</f>
        <v>0.306485355648536</v>
      </c>
      <c r="M19" s="70">
        <f>9.19/29.94</f>
        <v>0.306947227788911</v>
      </c>
      <c r="O19" s="55"/>
      <c r="P19" s="56"/>
      <c r="Q19" s="56"/>
      <c r="R19" s="56"/>
    </row>
    <row r="20" s="48" customFormat="1" ht="15.5" spans="1:18">
      <c r="A20" s="65" t="s">
        <v>119</v>
      </c>
      <c r="B20" s="65">
        <v>25.5</v>
      </c>
      <c r="C20" s="65">
        <v>24.9</v>
      </c>
      <c r="D20" s="66">
        <f t="shared" si="4"/>
        <v>1.02409638554217</v>
      </c>
      <c r="E20" s="65">
        <v>35</v>
      </c>
      <c r="F20" s="65">
        <v>42</v>
      </c>
      <c r="G20" s="65">
        <f t="shared" si="5"/>
        <v>77</v>
      </c>
      <c r="H20" s="66">
        <v>114.85</v>
      </c>
      <c r="I20" s="66">
        <v>204.96</v>
      </c>
      <c r="J20" s="67">
        <f>DEGREES(ACOS((H21^2+H20^2-I20^2)/(2*H20*H21)))</f>
        <v>151.683799944256</v>
      </c>
      <c r="K20" s="65">
        <v>-11</v>
      </c>
      <c r="L20" s="70">
        <f>10/23.4</f>
        <v>0.427350427350427</v>
      </c>
      <c r="M20" s="70">
        <f>10/24.9</f>
        <v>0.401606425702811</v>
      </c>
      <c r="O20" s="55"/>
      <c r="P20" s="56"/>
      <c r="Q20" s="56"/>
      <c r="R20" s="56"/>
    </row>
    <row r="21" s="48" customFormat="1" ht="15.5" spans="1:18">
      <c r="A21" s="65" t="s">
        <v>120</v>
      </c>
      <c r="B21" s="65">
        <v>29.5</v>
      </c>
      <c r="C21" s="65">
        <v>32.5</v>
      </c>
      <c r="D21" s="66">
        <f t="shared" si="4"/>
        <v>0.907692307692308</v>
      </c>
      <c r="E21" s="65">
        <v>45</v>
      </c>
      <c r="F21" s="65">
        <v>43</v>
      </c>
      <c r="G21" s="65">
        <f t="shared" si="5"/>
        <v>88</v>
      </c>
      <c r="H21" s="66">
        <v>96.48</v>
      </c>
      <c r="I21" s="76" t="s">
        <v>39</v>
      </c>
      <c r="J21" s="76" t="s">
        <v>39</v>
      </c>
      <c r="K21" s="76" t="s">
        <v>39</v>
      </c>
      <c r="L21" s="70">
        <f>12.7/31.2</f>
        <v>0.407051282051282</v>
      </c>
      <c r="M21" s="70">
        <f>13.1/32.5</f>
        <v>0.403076923076923</v>
      </c>
      <c r="O21" s="55"/>
      <c r="P21" s="56"/>
      <c r="Q21" s="56"/>
      <c r="R21" s="56"/>
    </row>
    <row r="22" s="48" customFormat="1" ht="15.5" spans="1:18">
      <c r="A22" s="65" t="s">
        <v>121</v>
      </c>
      <c r="B22" s="65">
        <v>23.1</v>
      </c>
      <c r="C22" s="65">
        <v>27.3</v>
      </c>
      <c r="D22" s="66">
        <f t="shared" si="4"/>
        <v>0.846153846153846</v>
      </c>
      <c r="E22" s="65">
        <v>46</v>
      </c>
      <c r="F22" s="65">
        <v>43</v>
      </c>
      <c r="G22" s="65">
        <f t="shared" si="5"/>
        <v>89</v>
      </c>
      <c r="H22" s="76" t="s">
        <v>39</v>
      </c>
      <c r="I22" s="76" t="s">
        <v>39</v>
      </c>
      <c r="J22" s="76" t="s">
        <v>39</v>
      </c>
      <c r="K22" s="76" t="s">
        <v>39</v>
      </c>
      <c r="L22" s="70">
        <f>8.9/26</f>
        <v>0.342307692307692</v>
      </c>
      <c r="M22" s="70">
        <f>9.2/27.3</f>
        <v>0.336996336996337</v>
      </c>
      <c r="O22" s="55"/>
      <c r="P22" s="56"/>
      <c r="Q22" s="56"/>
      <c r="R22" s="56"/>
    </row>
    <row r="23" s="48" customFormat="1" ht="15.5" spans="1:18">
      <c r="A23" s="65" t="s">
        <v>108</v>
      </c>
      <c r="B23" s="66">
        <f t="shared" ref="B23:J23" si="7">AVERAGE(B19:B22)</f>
        <v>24.3</v>
      </c>
      <c r="C23" s="66">
        <f t="shared" si="7"/>
        <v>28.66</v>
      </c>
      <c r="D23" s="66">
        <f t="shared" si="7"/>
        <v>0.853971272789632</v>
      </c>
      <c r="E23" s="67">
        <f t="shared" si="7"/>
        <v>42.75</v>
      </c>
      <c r="F23" s="67">
        <f t="shared" si="7"/>
        <v>42.25</v>
      </c>
      <c r="G23" s="65">
        <f t="shared" si="7"/>
        <v>85</v>
      </c>
      <c r="H23" s="66">
        <f t="shared" si="7"/>
        <v>104.076666666667</v>
      </c>
      <c r="I23" s="66">
        <f t="shared" si="7"/>
        <v>207.39</v>
      </c>
      <c r="J23" s="67">
        <f t="shared" si="7"/>
        <v>152.348659893917</v>
      </c>
      <c r="K23" s="67" t="s">
        <v>122</v>
      </c>
      <c r="L23" s="70">
        <f>AVERAGE(L19:L22)</f>
        <v>0.370798689339484</v>
      </c>
      <c r="M23" s="70">
        <f>AVERAGE(M19:M22)</f>
        <v>0.362156728391246</v>
      </c>
      <c r="O23" s="55"/>
      <c r="P23" s="56"/>
      <c r="Q23" s="56"/>
      <c r="R23" s="56"/>
    </row>
    <row r="24" s="48" customFormat="1" spans="15:18">
      <c r="O24" s="55"/>
      <c r="P24" s="56"/>
      <c r="Q24" s="56"/>
      <c r="R24" s="56"/>
    </row>
    <row r="25" ht="15.5" spans="1:13">
      <c r="A25" s="65" t="s">
        <v>123</v>
      </c>
      <c r="B25" s="66">
        <v>37</v>
      </c>
      <c r="C25" s="65">
        <v>22.7</v>
      </c>
      <c r="D25" s="66">
        <f t="shared" ref="D25:D27" si="8">B25/C25</f>
        <v>1.62995594713656</v>
      </c>
      <c r="E25" s="65">
        <v>24</v>
      </c>
      <c r="F25" s="65">
        <v>28</v>
      </c>
      <c r="G25" s="65">
        <f t="shared" ref="G25:G27" si="9">E25+F25</f>
        <v>52</v>
      </c>
      <c r="H25" s="65">
        <v>82.2</v>
      </c>
      <c r="I25" s="65">
        <v>180.7</v>
      </c>
      <c r="J25" s="67">
        <f>DEGREES(ACOS((H26^2+H25^2-I25^2)/(2*H25*H26)))</f>
        <v>127.104133197772</v>
      </c>
      <c r="K25" s="65">
        <v>16</v>
      </c>
      <c r="L25" s="70">
        <f>14.4/21.9</f>
        <v>0.657534246575343</v>
      </c>
      <c r="M25" s="70"/>
    </row>
    <row r="26" ht="15.5" spans="1:13">
      <c r="A26" s="65" t="s">
        <v>124</v>
      </c>
      <c r="B26" s="65">
        <v>32.8</v>
      </c>
      <c r="C26" s="65">
        <v>31.2</v>
      </c>
      <c r="D26" s="66">
        <f t="shared" si="8"/>
        <v>1.05128205128205</v>
      </c>
      <c r="E26" s="65">
        <v>34</v>
      </c>
      <c r="F26" s="65">
        <v>39</v>
      </c>
      <c r="G26" s="65">
        <f t="shared" si="9"/>
        <v>73</v>
      </c>
      <c r="H26" s="65">
        <v>118.8</v>
      </c>
      <c r="I26" s="75" t="s">
        <v>39</v>
      </c>
      <c r="J26" s="75" t="s">
        <v>39</v>
      </c>
      <c r="K26" s="75" t="s">
        <v>39</v>
      </c>
      <c r="L26" s="70">
        <f>12/30</f>
        <v>0.4</v>
      </c>
      <c r="M26" s="70"/>
    </row>
    <row r="27" ht="15.5" spans="1:13">
      <c r="A27" s="65" t="s">
        <v>125</v>
      </c>
      <c r="B27" s="65">
        <v>27.4</v>
      </c>
      <c r="C27" s="65">
        <v>28.2</v>
      </c>
      <c r="D27" s="66">
        <f t="shared" si="8"/>
        <v>0.971631205673759</v>
      </c>
      <c r="E27" s="65">
        <v>23</v>
      </c>
      <c r="F27" s="65">
        <v>28</v>
      </c>
      <c r="G27" s="65">
        <f t="shared" si="9"/>
        <v>51</v>
      </c>
      <c r="H27" s="75" t="s">
        <v>39</v>
      </c>
      <c r="I27" s="75" t="s">
        <v>39</v>
      </c>
      <c r="J27" s="75" t="s">
        <v>39</v>
      </c>
      <c r="K27" s="75" t="s">
        <v>39</v>
      </c>
      <c r="L27" s="70">
        <f>11/27.5</f>
        <v>0.4</v>
      </c>
      <c r="M27" s="70"/>
    </row>
    <row r="28" ht="15.5" spans="1:13">
      <c r="A28" s="65" t="s">
        <v>108</v>
      </c>
      <c r="B28" s="66">
        <f t="shared" ref="B28:M28" si="10">AVERAGE(B25:B27)</f>
        <v>32.4</v>
      </c>
      <c r="C28" s="66">
        <f t="shared" si="10"/>
        <v>27.3666666666667</v>
      </c>
      <c r="D28" s="66">
        <f t="shared" si="10"/>
        <v>1.21762306803079</v>
      </c>
      <c r="E28" s="67">
        <f t="shared" si="10"/>
        <v>27</v>
      </c>
      <c r="F28" s="67">
        <f t="shared" si="10"/>
        <v>31.6666666666667</v>
      </c>
      <c r="G28" s="67">
        <f t="shared" si="10"/>
        <v>58.6666666666667</v>
      </c>
      <c r="H28" s="66">
        <f t="shared" si="10"/>
        <v>100.5</v>
      </c>
      <c r="I28" s="66">
        <f t="shared" si="10"/>
        <v>180.7</v>
      </c>
      <c r="J28" s="67">
        <f t="shared" si="10"/>
        <v>127.104133197772</v>
      </c>
      <c r="K28" s="67">
        <f t="shared" si="10"/>
        <v>16</v>
      </c>
      <c r="L28" s="70">
        <f t="shared" si="10"/>
        <v>0.485844748858448</v>
      </c>
      <c r="M28" s="70"/>
    </row>
    <row r="29" ht="15.5" spans="1:13">
      <c r="A29" s="73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ht="15" spans="1:13">
      <c r="A30" s="77"/>
      <c r="B30" s="78" t="s">
        <v>0</v>
      </c>
      <c r="C30" s="78" t="s">
        <v>2</v>
      </c>
      <c r="D30" s="78" t="s">
        <v>4</v>
      </c>
      <c r="E30" s="79" t="s">
        <v>10</v>
      </c>
      <c r="F30" s="79" t="s">
        <v>12</v>
      </c>
      <c r="G30" s="79" t="s">
        <v>14</v>
      </c>
      <c r="H30" s="78" t="s">
        <v>6</v>
      </c>
      <c r="I30" s="68"/>
      <c r="J30" s="90"/>
      <c r="K30" s="90"/>
      <c r="L30" s="90"/>
      <c r="M30" s="90"/>
    </row>
    <row r="31" ht="15.5" spans="1:13">
      <c r="A31" s="65" t="s">
        <v>126</v>
      </c>
      <c r="B31" s="65">
        <v>37.9</v>
      </c>
      <c r="C31" s="65">
        <v>36.9</v>
      </c>
      <c r="D31" s="66">
        <f t="shared" ref="D31:D36" si="11">B31/C31</f>
        <v>1.02710027100271</v>
      </c>
      <c r="E31" s="65">
        <v>29</v>
      </c>
      <c r="F31" s="65">
        <v>37</v>
      </c>
      <c r="G31" s="65">
        <f t="shared" ref="G31:G33" si="12">E31+F31</f>
        <v>66</v>
      </c>
      <c r="H31" s="65">
        <v>0.27</v>
      </c>
      <c r="I31" s="65"/>
      <c r="J31" s="90"/>
      <c r="K31" s="90"/>
      <c r="L31" s="90"/>
      <c r="M31" s="90"/>
    </row>
    <row r="32" ht="15.5" spans="1:13">
      <c r="A32" s="65" t="s">
        <v>127</v>
      </c>
      <c r="B32" s="65">
        <v>26.4</v>
      </c>
      <c r="C32" s="65">
        <v>21.7</v>
      </c>
      <c r="D32" s="66">
        <f t="shared" si="11"/>
        <v>1.21658986175115</v>
      </c>
      <c r="E32" s="65">
        <v>34</v>
      </c>
      <c r="F32" s="65">
        <v>33</v>
      </c>
      <c r="G32" s="65">
        <f t="shared" si="12"/>
        <v>67</v>
      </c>
      <c r="H32" s="65">
        <v>0.45</v>
      </c>
      <c r="I32" s="65"/>
      <c r="J32" s="90"/>
      <c r="K32" s="90"/>
      <c r="L32" s="90"/>
      <c r="M32" s="90"/>
    </row>
    <row r="33" ht="15.5" spans="1:13">
      <c r="A33" s="65" t="s">
        <v>128</v>
      </c>
      <c r="B33" s="65">
        <v>36.8</v>
      </c>
      <c r="C33" s="66">
        <v>23</v>
      </c>
      <c r="D33" s="66">
        <f t="shared" si="11"/>
        <v>1.6</v>
      </c>
      <c r="E33" s="65">
        <v>31</v>
      </c>
      <c r="F33" s="65">
        <v>25</v>
      </c>
      <c r="G33" s="65">
        <f t="shared" si="12"/>
        <v>56</v>
      </c>
      <c r="H33" s="65">
        <v>0.67</v>
      </c>
      <c r="I33" s="65"/>
      <c r="J33" s="90"/>
      <c r="K33" s="90"/>
      <c r="L33" s="90"/>
      <c r="M33" s="90"/>
    </row>
    <row r="34" ht="15.5" spans="1:13">
      <c r="A34" s="65" t="s">
        <v>129</v>
      </c>
      <c r="B34" s="80">
        <v>33.37</v>
      </c>
      <c r="C34" s="80">
        <v>18.09</v>
      </c>
      <c r="D34" s="80">
        <f t="shared" si="11"/>
        <v>1.84466556108347</v>
      </c>
      <c r="E34" s="75" t="s">
        <v>39</v>
      </c>
      <c r="F34" s="74">
        <v>21.45</v>
      </c>
      <c r="G34" s="75" t="s">
        <v>39</v>
      </c>
      <c r="H34" s="81">
        <f>12.39/C34</f>
        <v>0.684908789386401</v>
      </c>
      <c r="I34" s="75"/>
      <c r="J34" s="90"/>
      <c r="K34" s="90"/>
      <c r="L34" s="90"/>
      <c r="M34" s="90"/>
    </row>
    <row r="35" ht="15.5" spans="1:13">
      <c r="A35" s="65" t="s">
        <v>130</v>
      </c>
      <c r="B35" s="65">
        <v>30.5</v>
      </c>
      <c r="C35" s="65">
        <v>36.6</v>
      </c>
      <c r="D35" s="66">
        <f t="shared" si="11"/>
        <v>0.833333333333333</v>
      </c>
      <c r="E35" s="65">
        <v>61</v>
      </c>
      <c r="F35" s="65">
        <v>53</v>
      </c>
      <c r="G35" s="65">
        <f t="shared" ref="G35:G43" si="13">E35+F35</f>
        <v>114</v>
      </c>
      <c r="H35" s="70">
        <v>0.5</v>
      </c>
      <c r="I35" s="70"/>
      <c r="J35" s="90"/>
      <c r="K35" s="90"/>
      <c r="L35" s="90"/>
      <c r="M35" s="90"/>
    </row>
    <row r="36" ht="15.5" spans="1:13">
      <c r="A36" s="65" t="s">
        <v>131</v>
      </c>
      <c r="B36" s="80">
        <v>19.67</v>
      </c>
      <c r="C36" s="80">
        <v>19.86</v>
      </c>
      <c r="D36" s="80">
        <f t="shared" si="11"/>
        <v>0.99043303121853</v>
      </c>
      <c r="E36" s="74">
        <v>31.7</v>
      </c>
      <c r="F36" s="74">
        <v>48.56</v>
      </c>
      <c r="G36" s="74">
        <f t="shared" si="13"/>
        <v>80.26</v>
      </c>
      <c r="H36" s="81">
        <f>7.23/C36</f>
        <v>0.36404833836858</v>
      </c>
      <c r="I36" s="75"/>
      <c r="J36" s="90"/>
      <c r="K36" s="90"/>
      <c r="L36" s="90"/>
      <c r="M36" s="90"/>
    </row>
    <row r="37" ht="15.5" spans="1:13">
      <c r="A37" s="65" t="s">
        <v>132</v>
      </c>
      <c r="B37" s="75" t="s">
        <v>39</v>
      </c>
      <c r="C37" s="80">
        <v>30.02</v>
      </c>
      <c r="D37" s="75" t="s">
        <v>39</v>
      </c>
      <c r="E37" s="74">
        <v>47.48</v>
      </c>
      <c r="F37" s="74">
        <v>87.93</v>
      </c>
      <c r="G37" s="74">
        <f t="shared" si="13"/>
        <v>135.41</v>
      </c>
      <c r="H37" s="81">
        <f>13.37/28.13</f>
        <v>0.475293281194454</v>
      </c>
      <c r="I37" s="81"/>
      <c r="J37" s="90"/>
      <c r="K37" s="90"/>
      <c r="L37" s="90"/>
      <c r="M37" s="90"/>
    </row>
    <row r="38" ht="15.5" spans="1:13">
      <c r="A38" s="65" t="s">
        <v>133</v>
      </c>
      <c r="B38" s="65">
        <v>27.3</v>
      </c>
      <c r="C38" s="65">
        <v>25.3</v>
      </c>
      <c r="D38" s="66">
        <f t="shared" ref="D38:D43" si="14">B38/C38</f>
        <v>1.07905138339921</v>
      </c>
      <c r="E38" s="65">
        <v>43</v>
      </c>
      <c r="F38" s="65">
        <v>34</v>
      </c>
      <c r="G38" s="65">
        <f t="shared" si="13"/>
        <v>77</v>
      </c>
      <c r="H38" s="65">
        <v>0.45</v>
      </c>
      <c r="I38" s="65"/>
      <c r="J38" s="90"/>
      <c r="K38" s="90"/>
      <c r="L38" s="90"/>
      <c r="M38" s="90"/>
    </row>
    <row r="39" ht="15.5" spans="1:13">
      <c r="A39" s="65" t="s">
        <v>134</v>
      </c>
      <c r="B39" s="80">
        <v>31.39</v>
      </c>
      <c r="C39" s="80">
        <v>28.34</v>
      </c>
      <c r="D39" s="80">
        <f t="shared" si="14"/>
        <v>1.1076217360621</v>
      </c>
      <c r="E39" s="74">
        <v>41.45</v>
      </c>
      <c r="F39" s="74">
        <v>33.18</v>
      </c>
      <c r="G39" s="74">
        <f t="shared" si="13"/>
        <v>74.63</v>
      </c>
      <c r="H39" s="81">
        <f>13.12/26.53</f>
        <v>0.494534489257444</v>
      </c>
      <c r="I39" s="81"/>
      <c r="J39" s="90"/>
      <c r="K39" s="90"/>
      <c r="L39" s="90"/>
      <c r="M39" s="90"/>
    </row>
    <row r="40" ht="15.5" spans="1:13">
      <c r="A40" s="65" t="s">
        <v>135</v>
      </c>
      <c r="B40" s="80">
        <v>36.58</v>
      </c>
      <c r="C40" s="80">
        <v>36.67</v>
      </c>
      <c r="D40" s="80">
        <f t="shared" si="14"/>
        <v>0.997545677665667</v>
      </c>
      <c r="E40" s="74">
        <v>35.86</v>
      </c>
      <c r="F40" s="74">
        <v>36.83</v>
      </c>
      <c r="G40" s="74">
        <f t="shared" si="13"/>
        <v>72.69</v>
      </c>
      <c r="H40" s="81">
        <f>11.79/C40</f>
        <v>0.321516225797655</v>
      </c>
      <c r="I40" s="75"/>
      <c r="J40" s="90"/>
      <c r="K40" s="90"/>
      <c r="L40" s="90"/>
      <c r="M40" s="90"/>
    </row>
    <row r="41" ht="15.5" spans="1:13">
      <c r="A41" s="65" t="s">
        <v>136</v>
      </c>
      <c r="B41" s="80">
        <v>25.22</v>
      </c>
      <c r="C41" s="75">
        <v>31.4</v>
      </c>
      <c r="D41" s="80">
        <f t="shared" si="14"/>
        <v>0.803184713375796</v>
      </c>
      <c r="E41" s="74">
        <v>47.02</v>
      </c>
      <c r="F41" s="74">
        <v>38.54</v>
      </c>
      <c r="G41" s="74">
        <f t="shared" si="13"/>
        <v>85.56</v>
      </c>
      <c r="H41" s="81">
        <f>8.76/31.4</f>
        <v>0.278980891719745</v>
      </c>
      <c r="I41" s="75"/>
      <c r="J41" s="90"/>
      <c r="K41" s="90"/>
      <c r="L41" s="90"/>
      <c r="M41" s="90"/>
    </row>
    <row r="42" ht="15.5" spans="1:13">
      <c r="A42" s="65" t="s">
        <v>137</v>
      </c>
      <c r="B42" s="80">
        <v>24.08</v>
      </c>
      <c r="C42" s="80">
        <v>28.39</v>
      </c>
      <c r="D42" s="80">
        <f t="shared" si="14"/>
        <v>0.848185980979218</v>
      </c>
      <c r="E42" s="74">
        <v>47.71</v>
      </c>
      <c r="F42" s="74">
        <v>26.75</v>
      </c>
      <c r="G42" s="74">
        <f t="shared" si="13"/>
        <v>74.46</v>
      </c>
      <c r="H42" s="81">
        <f>11.15/27.68</f>
        <v>0.402817919075145</v>
      </c>
      <c r="I42" s="81"/>
      <c r="J42" s="90"/>
      <c r="K42" s="90"/>
      <c r="L42" s="90"/>
      <c r="M42" s="90"/>
    </row>
    <row r="43" ht="15.5" spans="1:13">
      <c r="A43" s="65" t="s">
        <v>138</v>
      </c>
      <c r="B43" s="80">
        <v>26.1</v>
      </c>
      <c r="C43" s="80">
        <v>23.5</v>
      </c>
      <c r="D43" s="80">
        <f t="shared" si="14"/>
        <v>1.11063829787234</v>
      </c>
      <c r="E43" s="74">
        <v>34</v>
      </c>
      <c r="F43" s="74">
        <v>35</v>
      </c>
      <c r="G43" s="74">
        <f t="shared" si="13"/>
        <v>69</v>
      </c>
      <c r="H43" s="81">
        <f>9.2/23.1</f>
        <v>0.398268398268398</v>
      </c>
      <c r="I43" s="81"/>
      <c r="J43" s="90"/>
      <c r="K43" s="90"/>
      <c r="L43" s="90"/>
      <c r="M43" s="90"/>
    </row>
    <row r="44" ht="15.5" spans="1:13">
      <c r="A44" s="65"/>
      <c r="B44" s="80"/>
      <c r="C44" s="80"/>
      <c r="D44" s="80"/>
      <c r="E44" s="74"/>
      <c r="F44" s="74"/>
      <c r="G44" s="74"/>
      <c r="H44" s="81"/>
      <c r="I44" s="81"/>
      <c r="J44" s="90"/>
      <c r="K44" s="90"/>
      <c r="L44" s="90"/>
      <c r="M44" s="90"/>
    </row>
    <row r="45" s="72" customFormat="1" ht="15.5" spans="1:14">
      <c r="A45" s="82" t="s">
        <v>139</v>
      </c>
      <c r="B45" s="83"/>
      <c r="C45" s="83"/>
      <c r="D45" s="83"/>
      <c r="E45" s="84"/>
      <c r="F45" s="84"/>
      <c r="G45" s="84"/>
      <c r="H45" s="85"/>
      <c r="I45" s="85"/>
      <c r="J45" s="91"/>
      <c r="K45" s="91"/>
      <c r="L45" s="91"/>
      <c r="M45" s="91"/>
      <c r="N45" s="52"/>
    </row>
    <row r="46" s="53" customFormat="1" spans="2:18">
      <c r="B46" s="57" t="s">
        <v>0</v>
      </c>
      <c r="C46" s="57" t="s">
        <v>2</v>
      </c>
      <c r="D46" s="58" t="s">
        <v>4</v>
      </c>
      <c r="E46" s="59" t="s">
        <v>10</v>
      </c>
      <c r="F46" s="59" t="s">
        <v>12</v>
      </c>
      <c r="G46" s="59" t="s">
        <v>14</v>
      </c>
      <c r="H46" s="57" t="s">
        <v>18</v>
      </c>
      <c r="I46" s="57" t="s">
        <v>20</v>
      </c>
      <c r="J46" s="59" t="s">
        <v>22</v>
      </c>
      <c r="K46" s="59" t="s">
        <v>16</v>
      </c>
      <c r="L46" s="59" t="s">
        <v>6</v>
      </c>
      <c r="M46" s="68" t="s">
        <v>8</v>
      </c>
      <c r="N46" s="59" t="s">
        <v>28</v>
      </c>
      <c r="O46" s="58"/>
      <c r="P46" s="68"/>
      <c r="Q46" s="68"/>
      <c r="R46" s="68"/>
    </row>
    <row r="47" s="48" customFormat="1" spans="1:18">
      <c r="A47" s="48" t="s">
        <v>140</v>
      </c>
      <c r="B47" s="63">
        <v>26.33</v>
      </c>
      <c r="C47" s="63">
        <v>27.92</v>
      </c>
      <c r="D47" s="55">
        <f t="shared" ref="D47:D49" si="15">B47/C47</f>
        <v>0.943051575931232</v>
      </c>
      <c r="E47" s="46">
        <v>35.93</v>
      </c>
      <c r="F47" s="46">
        <f>G47-E47</f>
        <v>43.22</v>
      </c>
      <c r="G47" s="46">
        <v>79.15</v>
      </c>
      <c r="H47" s="63">
        <v>89.85</v>
      </c>
      <c r="I47" s="63">
        <v>192.43</v>
      </c>
      <c r="J47" s="46">
        <f>DEGREES(ACOS((H47^2+H48^2-I47^2)/(2*H47*H48)))</f>
        <v>171.325813706106</v>
      </c>
      <c r="K47" s="46">
        <v>36.38</v>
      </c>
      <c r="L47" s="56">
        <f>9.47/26.18</f>
        <v>0.361726508785332</v>
      </c>
      <c r="M47" s="56">
        <f>9.43/27.92</f>
        <v>0.337750716332378</v>
      </c>
      <c r="N47" s="63" t="s">
        <v>39</v>
      </c>
      <c r="O47" s="55"/>
      <c r="P47" s="56"/>
      <c r="Q47" s="56"/>
      <c r="R47" s="56"/>
    </row>
    <row r="48" s="48" customFormat="1" spans="1:18">
      <c r="A48" s="48" t="s">
        <v>141</v>
      </c>
      <c r="B48" s="63">
        <v>28.91</v>
      </c>
      <c r="C48" s="63">
        <v>27.25</v>
      </c>
      <c r="D48" s="55">
        <f t="shared" si="15"/>
        <v>1.06091743119266</v>
      </c>
      <c r="E48" s="46">
        <v>30.91</v>
      </c>
      <c r="F48" s="46">
        <f>G48-E48</f>
        <v>34.21</v>
      </c>
      <c r="G48" s="46">
        <v>65.12</v>
      </c>
      <c r="H48" s="63">
        <v>103.13</v>
      </c>
      <c r="I48" s="63" t="s">
        <v>39</v>
      </c>
      <c r="J48" s="63" t="s">
        <v>39</v>
      </c>
      <c r="K48" s="63" t="s">
        <v>39</v>
      </c>
      <c r="L48" s="56">
        <f>5.74/26.67</f>
        <v>0.215223097112861</v>
      </c>
      <c r="M48" s="56">
        <f>6.71/27.25</f>
        <v>0.246238532110092</v>
      </c>
      <c r="N48" s="63">
        <f>SQRT((H47+H48+I47)/2*((H47+H48+I47)/2-H47)*((H47+H48+I47)/2-H48)*((H47+H48+I47)/2-I47))*2/I47</f>
        <v>7.26233313773789</v>
      </c>
      <c r="O48" s="55"/>
      <c r="P48" s="56"/>
      <c r="Q48" s="56"/>
      <c r="R48" s="56"/>
    </row>
    <row r="49" s="48" customFormat="1" spans="1:18">
      <c r="A49" s="48" t="s">
        <v>142</v>
      </c>
      <c r="B49" s="63">
        <v>15.4</v>
      </c>
      <c r="C49" s="63">
        <v>26.42</v>
      </c>
      <c r="D49" s="55">
        <f t="shared" si="15"/>
        <v>0.582891748675246</v>
      </c>
      <c r="E49" s="46">
        <f>G49-F49</f>
        <v>43</v>
      </c>
      <c r="F49" s="46">
        <v>54</v>
      </c>
      <c r="G49" s="46">
        <v>97</v>
      </c>
      <c r="H49" s="63" t="s">
        <v>39</v>
      </c>
      <c r="I49" s="63" t="s">
        <v>39</v>
      </c>
      <c r="J49" s="63" t="s">
        <v>39</v>
      </c>
      <c r="K49" s="63" t="s">
        <v>39</v>
      </c>
      <c r="L49" s="56">
        <f>5.34/26.47</f>
        <v>0.20173781639592</v>
      </c>
      <c r="M49" s="56">
        <f>4.82/26.42</f>
        <v>0.182437547312642</v>
      </c>
      <c r="N49" s="63" t="s">
        <v>39</v>
      </c>
      <c r="O49" s="55"/>
      <c r="P49" s="56"/>
      <c r="Q49" s="56"/>
      <c r="R49" s="56"/>
    </row>
    <row r="50" s="48" customFormat="1" spans="1:18">
      <c r="A50" s="48" t="s">
        <v>108</v>
      </c>
      <c r="B50" s="63">
        <f t="shared" ref="B50:N50" si="16">AVERAGE(B47:B49)</f>
        <v>23.5466666666667</v>
      </c>
      <c r="C50" s="63">
        <f t="shared" si="16"/>
        <v>27.1966666666667</v>
      </c>
      <c r="D50" s="63">
        <f t="shared" si="16"/>
        <v>0.862286918599713</v>
      </c>
      <c r="E50" s="46">
        <f t="shared" si="16"/>
        <v>36.6133333333333</v>
      </c>
      <c r="F50" s="46">
        <f t="shared" si="16"/>
        <v>43.81</v>
      </c>
      <c r="G50" s="46">
        <f t="shared" si="16"/>
        <v>80.4233333333333</v>
      </c>
      <c r="H50" s="63">
        <f t="shared" si="16"/>
        <v>96.49</v>
      </c>
      <c r="I50" s="63">
        <f t="shared" si="16"/>
        <v>192.43</v>
      </c>
      <c r="J50" s="71">
        <f t="shared" si="16"/>
        <v>171.325813706106</v>
      </c>
      <c r="K50" s="71">
        <f t="shared" si="16"/>
        <v>36.38</v>
      </c>
      <c r="L50" s="56">
        <f t="shared" si="16"/>
        <v>0.259562474098038</v>
      </c>
      <c r="M50" s="56">
        <f t="shared" si="16"/>
        <v>0.255475598585037</v>
      </c>
      <c r="N50" s="63">
        <f t="shared" si="16"/>
        <v>7.26233313773789</v>
      </c>
      <c r="O50" s="55"/>
      <c r="P50" s="56"/>
      <c r="Q50" s="56"/>
      <c r="R50" s="56"/>
    </row>
    <row r="51" ht="15.5" spans="1:13">
      <c r="A51" s="65"/>
      <c r="B51" s="80"/>
      <c r="C51" s="80"/>
      <c r="D51" s="80"/>
      <c r="E51" s="74"/>
      <c r="F51" s="74"/>
      <c r="G51" s="74"/>
      <c r="H51" s="81"/>
      <c r="I51" s="81"/>
      <c r="J51" s="90"/>
      <c r="K51" s="90"/>
      <c r="L51" s="90"/>
      <c r="M51" s="90"/>
    </row>
    <row r="52" s="39" customFormat="1" spans="2:14">
      <c r="B52" s="40" t="s">
        <v>0</v>
      </c>
      <c r="C52" s="40" t="s">
        <v>2</v>
      </c>
      <c r="D52" s="86" t="s">
        <v>143</v>
      </c>
      <c r="E52" s="47" t="s">
        <v>6</v>
      </c>
      <c r="F52" s="40" t="s">
        <v>4</v>
      </c>
      <c r="G52" s="40" t="s">
        <v>144</v>
      </c>
      <c r="H52" s="86" t="s">
        <v>10</v>
      </c>
      <c r="I52" s="86" t="s">
        <v>12</v>
      </c>
      <c r="J52" s="86" t="s">
        <v>14</v>
      </c>
      <c r="L52" s="40"/>
      <c r="M52" s="86"/>
      <c r="N52" s="40"/>
    </row>
    <row r="53" s="39" customFormat="1" spans="1:14">
      <c r="A53" s="39" t="s">
        <v>145</v>
      </c>
      <c r="B53" s="87">
        <v>30.1</v>
      </c>
      <c r="C53" s="87">
        <v>23.2</v>
      </c>
      <c r="D53" s="87">
        <v>29.65</v>
      </c>
      <c r="E53" s="45">
        <f>10.08/23.2</f>
        <v>0.43448275862069</v>
      </c>
      <c r="F53" s="87">
        <f>B53/C53</f>
        <v>1.29741379310345</v>
      </c>
      <c r="G53" s="87">
        <f>B53/D53</f>
        <v>1.01517706576729</v>
      </c>
      <c r="H53" s="46">
        <v>25.09</v>
      </c>
      <c r="I53" s="46">
        <v>39.47</v>
      </c>
      <c r="J53" s="46">
        <v>64.48</v>
      </c>
      <c r="L53" s="47"/>
      <c r="M53" s="47"/>
      <c r="N53" s="47"/>
    </row>
    <row r="54" s="39" customFormat="1" spans="2:14">
      <c r="B54" s="87"/>
      <c r="C54" s="87"/>
      <c r="D54" s="87"/>
      <c r="E54" s="45"/>
      <c r="F54" s="87"/>
      <c r="G54" s="87"/>
      <c r="H54" s="46"/>
      <c r="I54" s="46"/>
      <c r="J54" s="46"/>
      <c r="L54" s="47"/>
      <c r="M54" s="47"/>
      <c r="N54" s="47"/>
    </row>
    <row r="55" s="1" customFormat="1" spans="1:1">
      <c r="A55" s="1" t="s">
        <v>32</v>
      </c>
    </row>
    <row r="56" s="39" customFormat="1" spans="2:14">
      <c r="B56" s="40" t="s">
        <v>0</v>
      </c>
      <c r="C56" s="40" t="s">
        <v>2</v>
      </c>
      <c r="D56" s="41" t="s">
        <v>4</v>
      </c>
      <c r="E56" s="42" t="s">
        <v>6</v>
      </c>
      <c r="F56" s="43" t="s">
        <v>146</v>
      </c>
      <c r="G56" s="42" t="s">
        <v>10</v>
      </c>
      <c r="H56" s="42" t="s">
        <v>12</v>
      </c>
      <c r="I56" s="42" t="s">
        <v>14</v>
      </c>
      <c r="J56" s="39"/>
      <c r="K56" s="40"/>
      <c r="L56" s="42"/>
      <c r="M56" s="42"/>
      <c r="N56" s="42"/>
    </row>
    <row r="57" s="39" customFormat="1" spans="1:14">
      <c r="A57" s="39" t="s">
        <v>147</v>
      </c>
      <c r="B57" s="44">
        <v>12.94</v>
      </c>
      <c r="C57" s="44">
        <v>7.17</v>
      </c>
      <c r="D57" s="44">
        <f>B57/C57</f>
        <v>1.8047419804742</v>
      </c>
      <c r="E57" s="45">
        <f>7.13/7.17</f>
        <v>0.99442119944212</v>
      </c>
      <c r="F57" s="45">
        <f>7.08/7.17</f>
        <v>0.98744769874477</v>
      </c>
      <c r="G57" s="88">
        <v>30.52</v>
      </c>
      <c r="H57" s="88">
        <v>35.11</v>
      </c>
      <c r="I57" s="88">
        <f>G57+H57</f>
        <v>65.63</v>
      </c>
      <c r="K57" s="48"/>
      <c r="L57" s="48"/>
      <c r="M57" s="48"/>
      <c r="N57" s="48"/>
    </row>
    <row r="58" s="73" customFormat="1" ht="15.5" spans="1:14">
      <c r="A58" s="65"/>
      <c r="B58" s="80"/>
      <c r="C58" s="80"/>
      <c r="D58" s="80"/>
      <c r="E58" s="74"/>
      <c r="F58" s="74"/>
      <c r="G58" s="74"/>
      <c r="H58" s="81"/>
      <c r="I58" s="81"/>
      <c r="J58" s="90"/>
      <c r="K58" s="90"/>
      <c r="L58" s="90"/>
      <c r="M58" s="90"/>
      <c r="N58" s="55"/>
    </row>
    <row r="59" s="72" customFormat="1" ht="15.5" spans="1:14">
      <c r="A59" s="82" t="s">
        <v>148</v>
      </c>
      <c r="B59" s="83"/>
      <c r="C59" s="83"/>
      <c r="D59" s="83"/>
      <c r="E59" s="84"/>
      <c r="F59" s="84"/>
      <c r="G59" s="84"/>
      <c r="H59" s="85"/>
      <c r="I59" s="85"/>
      <c r="J59" s="91"/>
      <c r="K59" s="91"/>
      <c r="L59" s="91"/>
      <c r="M59" s="91"/>
      <c r="N59" s="52"/>
    </row>
    <row r="60" s="48" customFormat="1" spans="2:14">
      <c r="B60" s="57" t="s">
        <v>0</v>
      </c>
      <c r="C60" s="57" t="s">
        <v>2</v>
      </c>
      <c r="D60" s="58" t="s">
        <v>4</v>
      </c>
      <c r="E60" s="59" t="s">
        <v>6</v>
      </c>
      <c r="F60" s="68" t="s">
        <v>146</v>
      </c>
      <c r="G60" s="59" t="s">
        <v>10</v>
      </c>
      <c r="H60" s="59" t="s">
        <v>12</v>
      </c>
      <c r="I60" s="59" t="s">
        <v>14</v>
      </c>
      <c r="K60" s="57"/>
      <c r="L60" s="59"/>
      <c r="M60" s="59"/>
      <c r="N60" s="59"/>
    </row>
    <row r="61" s="48" customFormat="1" spans="1:9">
      <c r="A61" s="48" t="s">
        <v>149</v>
      </c>
      <c r="B61" s="89">
        <v>28.93</v>
      </c>
      <c r="C61" s="89">
        <v>28.33</v>
      </c>
      <c r="D61" s="89">
        <f t="shared" ref="D61:D64" si="17">B61/C61</f>
        <v>1.02117896223085</v>
      </c>
      <c r="E61" s="56">
        <f>8.02/25.95</f>
        <v>0.309055876685934</v>
      </c>
      <c r="F61" s="56">
        <f>8.73/C61</f>
        <v>0.308153900458878</v>
      </c>
      <c r="G61" s="46">
        <v>49.68</v>
      </c>
      <c r="H61" s="46">
        <v>24.45</v>
      </c>
      <c r="I61" s="46">
        <f t="shared" ref="I61:I64" si="18">G61+H61</f>
        <v>74.13</v>
      </c>
    </row>
    <row r="62" s="48" customFormat="1" spans="1:9">
      <c r="A62" s="48" t="s">
        <v>150</v>
      </c>
      <c r="B62" s="89" t="s">
        <v>151</v>
      </c>
      <c r="C62" s="89">
        <v>25.12</v>
      </c>
      <c r="D62" s="89" t="s">
        <v>39</v>
      </c>
      <c r="E62" s="56">
        <f>7.43/23.37</f>
        <v>0.317928968763372</v>
      </c>
      <c r="F62" s="56">
        <f>8.25/C62</f>
        <v>0.328423566878981</v>
      </c>
      <c r="G62" s="46">
        <v>32.66</v>
      </c>
      <c r="H62" s="46">
        <v>45.93</v>
      </c>
      <c r="I62" s="46">
        <f t="shared" si="18"/>
        <v>78.59</v>
      </c>
    </row>
    <row r="63" s="48" customFormat="1" spans="1:9">
      <c r="A63" s="48" t="s">
        <v>152</v>
      </c>
      <c r="B63" s="89">
        <v>21.06</v>
      </c>
      <c r="C63" s="89">
        <v>17.59</v>
      </c>
      <c r="D63" s="89">
        <f t="shared" si="17"/>
        <v>1.197271176805</v>
      </c>
      <c r="E63" s="56">
        <f>8.47/17.04</f>
        <v>0.497065727699531</v>
      </c>
      <c r="F63" s="56">
        <f>8.83/C63</f>
        <v>0.501989766913019</v>
      </c>
      <c r="G63" s="46">
        <v>31.77</v>
      </c>
      <c r="H63" s="46">
        <v>30.56</v>
      </c>
      <c r="I63" s="46">
        <f t="shared" si="18"/>
        <v>62.33</v>
      </c>
    </row>
    <row r="64" s="48" customFormat="1" spans="1:9">
      <c r="A64" s="48" t="s">
        <v>153</v>
      </c>
      <c r="B64" s="89">
        <v>15.75</v>
      </c>
      <c r="C64" s="89">
        <v>13.95</v>
      </c>
      <c r="D64" s="89">
        <f t="shared" si="17"/>
        <v>1.12903225806452</v>
      </c>
      <c r="E64" s="56">
        <v>0.53</v>
      </c>
      <c r="F64" s="56">
        <f>7/13.77</f>
        <v>0.508351488743646</v>
      </c>
      <c r="G64" s="46">
        <v>36.5</v>
      </c>
      <c r="H64" s="46">
        <v>39.23</v>
      </c>
      <c r="I64" s="46">
        <f t="shared" si="18"/>
        <v>75.73</v>
      </c>
    </row>
    <row r="66" ht="15.5" spans="2:2">
      <c r="B66" s="65"/>
    </row>
    <row r="68" ht="15.5" spans="2:2">
      <c r="B68" s="65"/>
    </row>
    <row r="70" ht="15.5" spans="2:2">
      <c r="B70" s="65"/>
    </row>
    <row r="71" ht="15.5" spans="2:2">
      <c r="B71" s="65"/>
    </row>
    <row r="72" ht="15.5" spans="2:2">
      <c r="B72" s="65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zoomScale="60" zoomScaleNormal="60" workbookViewId="0">
      <selection activeCell="A21" sqref="$A21:$XFD23"/>
    </sheetView>
  </sheetViews>
  <sheetFormatPr defaultColWidth="8.90909090909091" defaultRowHeight="14"/>
  <cols>
    <col min="1" max="1" width="14.7272727272727" style="48" customWidth="1"/>
    <col min="2" max="3" width="9" style="48" customWidth="1"/>
    <col min="4" max="4" width="10" style="48" customWidth="1"/>
    <col min="5" max="5" width="9" style="48" customWidth="1"/>
    <col min="6" max="6" width="10" style="48" customWidth="1"/>
    <col min="7" max="9" width="9" style="48" customWidth="1"/>
    <col min="10" max="10" width="10" style="48" customWidth="1"/>
    <col min="11" max="11" width="9" style="48" customWidth="1"/>
    <col min="12" max="12" width="11.2727272727273" style="48" customWidth="1"/>
    <col min="13" max="13" width="11.9090909090909" style="48" customWidth="1"/>
    <col min="14" max="14" width="10" style="48" customWidth="1"/>
    <col min="15" max="15" width="9.45454545454546" style="55" customWidth="1"/>
    <col min="16" max="17" width="9.54545454545454" style="56"/>
    <col min="18" max="18" width="11.7272727272727" style="56"/>
    <col min="19" max="16384" width="8.90909090909091" style="48"/>
  </cols>
  <sheetData>
    <row r="1" s="53" customFormat="1" spans="2:18">
      <c r="B1" s="57" t="s">
        <v>0</v>
      </c>
      <c r="C1" s="57" t="s">
        <v>2</v>
      </c>
      <c r="D1" s="58" t="s">
        <v>4</v>
      </c>
      <c r="E1" s="59" t="s">
        <v>10</v>
      </c>
      <c r="F1" s="59" t="s">
        <v>12</v>
      </c>
      <c r="G1" s="59" t="s">
        <v>14</v>
      </c>
      <c r="H1" s="57" t="s">
        <v>18</v>
      </c>
      <c r="I1" s="57" t="s">
        <v>20</v>
      </c>
      <c r="J1" s="59" t="s">
        <v>22</v>
      </c>
      <c r="K1" s="59" t="s">
        <v>16</v>
      </c>
      <c r="L1" s="59" t="s">
        <v>6</v>
      </c>
      <c r="M1" s="68" t="s">
        <v>8</v>
      </c>
      <c r="N1" s="59" t="s">
        <v>28</v>
      </c>
      <c r="O1" s="58"/>
      <c r="P1" s="68"/>
      <c r="Q1" s="68"/>
      <c r="R1" s="68"/>
    </row>
    <row r="2" s="54" customFormat="1" spans="1:18">
      <c r="A2" s="54" t="s">
        <v>154</v>
      </c>
      <c r="B2" s="60"/>
      <c r="C2" s="60"/>
      <c r="D2" s="61"/>
      <c r="E2" s="62"/>
      <c r="F2" s="62"/>
      <c r="G2" s="62"/>
      <c r="H2" s="60"/>
      <c r="I2" s="60"/>
      <c r="J2" s="62"/>
      <c r="K2" s="62"/>
      <c r="L2" s="62"/>
      <c r="M2" s="69"/>
      <c r="N2" s="62"/>
      <c r="O2" s="61"/>
      <c r="P2" s="69"/>
      <c r="Q2" s="69"/>
      <c r="R2" s="69"/>
    </row>
    <row r="3" spans="1:14">
      <c r="A3" s="48" t="s">
        <v>155</v>
      </c>
      <c r="B3" s="55">
        <v>16.7</v>
      </c>
      <c r="C3" s="55">
        <v>30.99</v>
      </c>
      <c r="D3" s="55">
        <f>B3/C3</f>
        <v>0.538883510809939</v>
      </c>
      <c r="E3" s="46">
        <v>46.51</v>
      </c>
      <c r="F3" s="46">
        <f>G3-E3</f>
        <v>53</v>
      </c>
      <c r="G3" s="46">
        <v>99.51</v>
      </c>
      <c r="H3" s="55">
        <v>110.3</v>
      </c>
      <c r="I3" s="55">
        <v>197.13</v>
      </c>
      <c r="J3" s="46">
        <f t="shared" ref="J3:J7" si="0">DEGREES(ACOS((H3^2+H4^2-I3^2)/(2*H3*H4)))</f>
        <v>136.693225376215</v>
      </c>
      <c r="K3" s="46">
        <v>-8.82</v>
      </c>
      <c r="L3" s="56">
        <f>8.97/30.44</f>
        <v>0.294678055190539</v>
      </c>
      <c r="M3" s="56">
        <f>8.37/30.99</f>
        <v>0.270087124878993</v>
      </c>
      <c r="N3" s="63" t="s">
        <v>39</v>
      </c>
    </row>
    <row r="4" spans="1:14">
      <c r="A4" s="48" t="s">
        <v>156</v>
      </c>
      <c r="B4" s="63" t="s">
        <v>39</v>
      </c>
      <c r="C4" s="63" t="s">
        <v>39</v>
      </c>
      <c r="D4" s="63" t="s">
        <v>39</v>
      </c>
      <c r="E4" s="63" t="s">
        <v>39</v>
      </c>
      <c r="F4" s="63" t="s">
        <v>39</v>
      </c>
      <c r="G4" s="63" t="s">
        <v>39</v>
      </c>
      <c r="H4" s="55">
        <v>101.77</v>
      </c>
      <c r="I4" s="55">
        <v>195.84</v>
      </c>
      <c r="J4" s="46">
        <f t="shared" si="0"/>
        <v>131.92691175348</v>
      </c>
      <c r="K4" s="63" t="s">
        <v>39</v>
      </c>
      <c r="L4" s="63" t="s">
        <v>39</v>
      </c>
      <c r="M4" s="63" t="s">
        <v>39</v>
      </c>
      <c r="N4" s="63">
        <f t="shared" ref="N4:N8" si="1">SQRT((H3+H4+I3)/2*((H3+H4+I3)/2-H3)*((H3+H4+I3)/2-H4)*((H3+H4+I3)/2-I3))*2/I3</f>
        <v>39.0576539825256</v>
      </c>
    </row>
    <row r="5" spans="1:14">
      <c r="A5" s="48" t="s">
        <v>157</v>
      </c>
      <c r="B5" s="55">
        <v>13.2</v>
      </c>
      <c r="C5" s="55">
        <v>25.87</v>
      </c>
      <c r="D5" s="55">
        <f>B5/C5</f>
        <v>0.510243525318902</v>
      </c>
      <c r="E5" s="46">
        <v>64.84</v>
      </c>
      <c r="F5" s="46">
        <f>G5-E5</f>
        <v>49.35</v>
      </c>
      <c r="G5" s="46">
        <v>114.19</v>
      </c>
      <c r="H5" s="55">
        <v>112.61</v>
      </c>
      <c r="I5" s="55">
        <v>183.23</v>
      </c>
      <c r="J5" s="46">
        <f t="shared" si="0"/>
        <v>131.284416659348</v>
      </c>
      <c r="K5" s="46">
        <v>8.28</v>
      </c>
      <c r="L5" s="56">
        <f>7.56/26</f>
        <v>0.290769230769231</v>
      </c>
      <c r="M5" s="56">
        <f>7.11/25.87</f>
        <v>0.274835717046772</v>
      </c>
      <c r="N5" s="63">
        <f t="shared" si="1"/>
        <v>43.5378495778516</v>
      </c>
    </row>
    <row r="6" spans="1:14">
      <c r="A6" s="48" t="s">
        <v>158</v>
      </c>
      <c r="B6" s="63" t="s">
        <v>39</v>
      </c>
      <c r="C6" s="63" t="s">
        <v>39</v>
      </c>
      <c r="D6" s="63" t="s">
        <v>39</v>
      </c>
      <c r="E6" s="63" t="s">
        <v>39</v>
      </c>
      <c r="F6" s="63" t="s">
        <v>39</v>
      </c>
      <c r="G6" s="63" t="s">
        <v>39</v>
      </c>
      <c r="H6" s="55">
        <v>88.22</v>
      </c>
      <c r="I6" s="55">
        <v>156.63</v>
      </c>
      <c r="J6" s="46">
        <f t="shared" si="0"/>
        <v>131.346143865773</v>
      </c>
      <c r="K6" s="63" t="s">
        <v>39</v>
      </c>
      <c r="L6" s="63" t="s">
        <v>39</v>
      </c>
      <c r="M6" s="63" t="s">
        <v>39</v>
      </c>
      <c r="N6" s="63">
        <f t="shared" si="1"/>
        <v>40.7421391740833</v>
      </c>
    </row>
    <row r="7" spans="1:14">
      <c r="A7" s="48" t="s">
        <v>159</v>
      </c>
      <c r="B7" s="63" t="s">
        <v>39</v>
      </c>
      <c r="C7" s="63" t="s">
        <v>39</v>
      </c>
      <c r="D7" s="63" t="s">
        <v>39</v>
      </c>
      <c r="E7" s="63" t="s">
        <v>39</v>
      </c>
      <c r="F7" s="63" t="s">
        <v>39</v>
      </c>
      <c r="G7" s="63" t="s">
        <v>39</v>
      </c>
      <c r="H7" s="55">
        <v>83.66</v>
      </c>
      <c r="I7" s="55">
        <v>166.11</v>
      </c>
      <c r="J7" s="46">
        <f t="shared" si="0"/>
        <v>132.271671571977</v>
      </c>
      <c r="K7" s="63" t="s">
        <v>39</v>
      </c>
      <c r="L7" s="63" t="s">
        <v>39</v>
      </c>
      <c r="M7" s="63" t="s">
        <v>39</v>
      </c>
      <c r="N7" s="63">
        <f t="shared" si="1"/>
        <v>35.3748898291282</v>
      </c>
    </row>
    <row r="8" spans="1:14">
      <c r="A8" s="48" t="s">
        <v>160</v>
      </c>
      <c r="B8" s="63" t="s">
        <v>39</v>
      </c>
      <c r="C8" s="63" t="s">
        <v>39</v>
      </c>
      <c r="D8" s="63" t="s">
        <v>39</v>
      </c>
      <c r="E8" s="63" t="s">
        <v>39</v>
      </c>
      <c r="F8" s="63" t="s">
        <v>39</v>
      </c>
      <c r="G8" s="63" t="s">
        <v>39</v>
      </c>
      <c r="H8" s="55">
        <v>97.87</v>
      </c>
      <c r="I8" s="63" t="s">
        <v>39</v>
      </c>
      <c r="J8" s="63" t="s">
        <v>39</v>
      </c>
      <c r="K8" s="63" t="s">
        <v>39</v>
      </c>
      <c r="L8" s="63" t="s">
        <v>39</v>
      </c>
      <c r="M8" s="63" t="s">
        <v>39</v>
      </c>
      <c r="N8" s="63">
        <f t="shared" si="1"/>
        <v>36.4738930124771</v>
      </c>
    </row>
    <row r="9" spans="1:14">
      <c r="A9" s="48" t="s">
        <v>161</v>
      </c>
      <c r="B9" s="55">
        <v>14.3</v>
      </c>
      <c r="C9" s="55">
        <v>31.18</v>
      </c>
      <c r="D9" s="55">
        <f t="shared" ref="D9:D14" si="2">B9/C9</f>
        <v>0.458627325208467</v>
      </c>
      <c r="E9" s="46">
        <v>75.59</v>
      </c>
      <c r="F9" s="46">
        <f>G9-E9</f>
        <v>32.82</v>
      </c>
      <c r="G9" s="46">
        <v>108.41</v>
      </c>
      <c r="H9" s="63" t="s">
        <v>39</v>
      </c>
      <c r="I9" s="63" t="s">
        <v>39</v>
      </c>
      <c r="J9" s="63" t="s">
        <v>39</v>
      </c>
      <c r="K9" s="63" t="s">
        <v>39</v>
      </c>
      <c r="L9" s="56">
        <f>9.84/30.22</f>
        <v>0.325612177365983</v>
      </c>
      <c r="M9" s="56">
        <f>10.1/31.18</f>
        <v>0.323925593329057</v>
      </c>
      <c r="N9" s="63" t="s">
        <v>39</v>
      </c>
    </row>
    <row r="10" spans="1:14">
      <c r="A10" s="48" t="s">
        <v>108</v>
      </c>
      <c r="B10" s="55">
        <f t="shared" ref="B10:J10" si="3">AVERAGE(B3:B9)</f>
        <v>14.7333333333333</v>
      </c>
      <c r="C10" s="55">
        <f t="shared" si="3"/>
        <v>29.3466666666667</v>
      </c>
      <c r="D10" s="48">
        <v>0.5</v>
      </c>
      <c r="E10" s="46">
        <f t="shared" si="3"/>
        <v>62.3133333333333</v>
      </c>
      <c r="F10" s="46">
        <f t="shared" si="3"/>
        <v>45.0566666666667</v>
      </c>
      <c r="G10" s="46">
        <f t="shared" si="3"/>
        <v>107.37</v>
      </c>
      <c r="H10" s="55">
        <f t="shared" si="3"/>
        <v>99.0716666666667</v>
      </c>
      <c r="I10" s="55">
        <f t="shared" si="3"/>
        <v>179.788</v>
      </c>
      <c r="J10" s="46">
        <f t="shared" si="3"/>
        <v>132.704473845359</v>
      </c>
      <c r="K10" s="46" t="s">
        <v>162</v>
      </c>
      <c r="L10" s="56">
        <f>AVERAGE(L3:L9)</f>
        <v>0.303686487775251</v>
      </c>
      <c r="M10" s="56">
        <f>AVERAGE(M3:M9)</f>
        <v>0.289616145084941</v>
      </c>
      <c r="N10" s="63">
        <f>AVERAGE(N3:N9)</f>
        <v>39.0372851152132</v>
      </c>
    </row>
    <row r="11" spans="2:14">
      <c r="B11" s="55"/>
      <c r="C11" s="55"/>
      <c r="D11" s="48"/>
      <c r="E11" s="46"/>
      <c r="F11" s="46"/>
      <c r="G11" s="46"/>
      <c r="H11" s="55"/>
      <c r="I11" s="55"/>
      <c r="J11" s="46"/>
      <c r="K11" s="46"/>
      <c r="L11" s="56"/>
      <c r="M11" s="56"/>
      <c r="N11" s="63"/>
    </row>
    <row r="12" spans="1:14">
      <c r="A12" s="48" t="s">
        <v>163</v>
      </c>
      <c r="B12" s="63">
        <v>15.12</v>
      </c>
      <c r="C12" s="63">
        <v>29.9</v>
      </c>
      <c r="D12" s="55">
        <f t="shared" si="2"/>
        <v>0.505685618729097</v>
      </c>
      <c r="E12" s="46">
        <v>50.1</v>
      </c>
      <c r="F12" s="46">
        <v>31.4</v>
      </c>
      <c r="G12" s="46">
        <f t="shared" ref="G12:G14" si="4">E12+F12</f>
        <v>81.5</v>
      </c>
      <c r="H12" s="64">
        <v>171.69</v>
      </c>
      <c r="I12" s="63">
        <v>275.69</v>
      </c>
      <c r="J12" s="46">
        <f t="shared" ref="J12:J17" si="5">DEGREES(ACOS((H12^2+H13^2-I12^2)/(2*H12*H13)))</f>
        <v>136.972718296022</v>
      </c>
      <c r="K12" s="46">
        <v>-22</v>
      </c>
      <c r="L12" s="56">
        <f>8.43/29.93</f>
        <v>0.281657200133645</v>
      </c>
      <c r="M12" s="56">
        <f>8.75/29.9</f>
        <v>0.292642140468227</v>
      </c>
      <c r="N12" s="63" t="s">
        <v>39</v>
      </c>
    </row>
    <row r="13" spans="1:14">
      <c r="A13" s="48" t="s">
        <v>164</v>
      </c>
      <c r="B13" s="63">
        <v>13.8</v>
      </c>
      <c r="C13" s="63">
        <v>30.7</v>
      </c>
      <c r="D13" s="55">
        <f t="shared" si="2"/>
        <v>0.449511400651466</v>
      </c>
      <c r="E13" s="46">
        <v>59.7</v>
      </c>
      <c r="F13" s="46">
        <v>73.8</v>
      </c>
      <c r="G13" s="46">
        <f t="shared" si="4"/>
        <v>133.5</v>
      </c>
      <c r="H13" s="64">
        <v>124.05</v>
      </c>
      <c r="I13" s="63" t="s">
        <v>39</v>
      </c>
      <c r="J13" s="63" t="s">
        <v>39</v>
      </c>
      <c r="K13" s="63" t="s">
        <v>39</v>
      </c>
      <c r="L13" s="56">
        <f>9.7/29</f>
        <v>0.33448275862069</v>
      </c>
      <c r="M13" s="56">
        <f>10.3/30.7</f>
        <v>0.335504885993485</v>
      </c>
      <c r="N13" s="63">
        <f t="shared" ref="N13:N18" si="6">SQRT((H12+H13+I12)/2*((H12+H13+I12)/2-H12)*((H12+H13+I12)/2-H13)*((H12+H13+I12)/2-I12))*2/I12</f>
        <v>52.7139714915937</v>
      </c>
    </row>
    <row r="14" spans="1:14">
      <c r="A14" s="48" t="s">
        <v>165</v>
      </c>
      <c r="B14" s="63">
        <v>12.6</v>
      </c>
      <c r="C14" s="63">
        <v>33.9</v>
      </c>
      <c r="D14" s="55">
        <f t="shared" si="2"/>
        <v>0.371681415929204</v>
      </c>
      <c r="E14" s="46">
        <v>88</v>
      </c>
      <c r="F14" s="46">
        <v>45</v>
      </c>
      <c r="G14" s="46">
        <f t="shared" si="4"/>
        <v>133</v>
      </c>
      <c r="H14" s="63" t="s">
        <v>39</v>
      </c>
      <c r="I14" s="64">
        <v>273.79</v>
      </c>
      <c r="J14" s="63" t="s">
        <v>39</v>
      </c>
      <c r="K14" s="46">
        <v>24</v>
      </c>
      <c r="L14" s="56">
        <f>8/32.3</f>
        <v>0.247678018575851</v>
      </c>
      <c r="M14" s="56">
        <f>8.6/33.9</f>
        <v>0.253687315634218</v>
      </c>
      <c r="N14" s="63" t="s">
        <v>39</v>
      </c>
    </row>
    <row r="15" spans="1:14">
      <c r="A15" s="48" t="s">
        <v>166</v>
      </c>
      <c r="B15" s="63" t="s">
        <v>39</v>
      </c>
      <c r="C15" s="63" t="s">
        <v>39</v>
      </c>
      <c r="D15" s="63" t="s">
        <v>39</v>
      </c>
      <c r="E15" s="63" t="s">
        <v>39</v>
      </c>
      <c r="F15" s="63" t="s">
        <v>39</v>
      </c>
      <c r="G15" s="63" t="s">
        <v>39</v>
      </c>
      <c r="H15" s="63" t="s">
        <v>39</v>
      </c>
      <c r="I15" s="63" t="s">
        <v>39</v>
      </c>
      <c r="J15" s="63" t="s">
        <v>39</v>
      </c>
      <c r="K15" s="63" t="s">
        <v>39</v>
      </c>
      <c r="L15" s="63" t="s">
        <v>39</v>
      </c>
      <c r="M15" s="63" t="s">
        <v>39</v>
      </c>
      <c r="N15" s="63" t="s">
        <v>39</v>
      </c>
    </row>
    <row r="16" spans="1:14">
      <c r="A16" s="48" t="s">
        <v>167</v>
      </c>
      <c r="B16" s="63">
        <v>14.5</v>
      </c>
      <c r="C16" s="63">
        <v>28.2</v>
      </c>
      <c r="D16" s="55">
        <f>B16/C16</f>
        <v>0.514184397163121</v>
      </c>
      <c r="E16" s="46">
        <v>55</v>
      </c>
      <c r="F16" s="46">
        <v>32</v>
      </c>
      <c r="G16" s="46">
        <f>E16+F16</f>
        <v>87</v>
      </c>
      <c r="H16" s="64">
        <v>136.64</v>
      </c>
      <c r="I16" s="64">
        <v>280.86</v>
      </c>
      <c r="J16" s="46">
        <f t="shared" si="5"/>
        <v>166.121822428847</v>
      </c>
      <c r="K16" s="46">
        <v>-45</v>
      </c>
      <c r="L16" s="56">
        <f>8.2/27</f>
        <v>0.303703703703704</v>
      </c>
      <c r="M16" s="56">
        <f>9.6/28.2</f>
        <v>0.340425531914894</v>
      </c>
      <c r="N16" s="63" t="s">
        <v>39</v>
      </c>
    </row>
    <row r="17" spans="1:14">
      <c r="A17" s="48" t="s">
        <v>168</v>
      </c>
      <c r="B17" s="63" t="s">
        <v>39</v>
      </c>
      <c r="C17" s="63" t="s">
        <v>39</v>
      </c>
      <c r="D17" s="63" t="s">
        <v>39</v>
      </c>
      <c r="E17" s="63" t="s">
        <v>39</v>
      </c>
      <c r="F17" s="63" t="s">
        <v>39</v>
      </c>
      <c r="G17" s="63" t="s">
        <v>39</v>
      </c>
      <c r="H17" s="64">
        <v>146.29</v>
      </c>
      <c r="I17" s="64">
        <v>288.16</v>
      </c>
      <c r="J17" s="46">
        <f t="shared" si="5"/>
        <v>163.810159178482</v>
      </c>
      <c r="K17" s="46">
        <v>-21</v>
      </c>
      <c r="L17" s="63" t="s">
        <v>39</v>
      </c>
      <c r="M17" s="63" t="s">
        <v>39</v>
      </c>
      <c r="N17" s="63">
        <f t="shared" si="6"/>
        <v>17.0709371077084</v>
      </c>
    </row>
    <row r="18" spans="1:14">
      <c r="A18" s="48" t="s">
        <v>169</v>
      </c>
      <c r="B18" s="63" t="s">
        <v>39</v>
      </c>
      <c r="C18" s="63" t="s">
        <v>39</v>
      </c>
      <c r="D18" s="63" t="s">
        <v>39</v>
      </c>
      <c r="E18" s="63" t="s">
        <v>39</v>
      </c>
      <c r="F18" s="63" t="s">
        <v>39</v>
      </c>
      <c r="G18" s="63" t="s">
        <v>39</v>
      </c>
      <c r="H18" s="63">
        <v>144.77</v>
      </c>
      <c r="I18" s="63" t="s">
        <v>39</v>
      </c>
      <c r="J18" s="63" t="s">
        <v>39</v>
      </c>
      <c r="K18" s="63" t="s">
        <v>39</v>
      </c>
      <c r="L18" s="63" t="s">
        <v>39</v>
      </c>
      <c r="M18" s="63" t="s">
        <v>39</v>
      </c>
      <c r="N18" s="63">
        <f t="shared" si="6"/>
        <v>20.4920183421873</v>
      </c>
    </row>
    <row r="19" spans="1:14">
      <c r="A19" s="48" t="s">
        <v>170</v>
      </c>
      <c r="B19" s="63" t="s">
        <v>39</v>
      </c>
      <c r="C19" s="63" t="s">
        <v>39</v>
      </c>
      <c r="D19" s="63" t="s">
        <v>39</v>
      </c>
      <c r="E19" s="63" t="s">
        <v>39</v>
      </c>
      <c r="F19" s="63" t="s">
        <v>39</v>
      </c>
      <c r="G19" s="63" t="s">
        <v>39</v>
      </c>
      <c r="H19" s="63" t="s">
        <v>39</v>
      </c>
      <c r="I19" s="63" t="s">
        <v>39</v>
      </c>
      <c r="J19" s="63" t="s">
        <v>39</v>
      </c>
      <c r="K19" s="63" t="s">
        <v>39</v>
      </c>
      <c r="L19" s="63" t="s">
        <v>39</v>
      </c>
      <c r="M19" s="63" t="s">
        <v>39</v>
      </c>
      <c r="N19" s="63" t="s">
        <v>39</v>
      </c>
    </row>
    <row r="20" ht="15" customHeight="1" spans="1:14">
      <c r="A20" s="48" t="s">
        <v>108</v>
      </c>
      <c r="B20" s="63">
        <f t="shared" ref="B20:J20" si="7">AVERAGE(B12:B19)</f>
        <v>14.005</v>
      </c>
      <c r="C20" s="63">
        <f t="shared" si="7"/>
        <v>30.675</v>
      </c>
      <c r="D20" s="55">
        <f t="shared" si="7"/>
        <v>0.460265708118222</v>
      </c>
      <c r="E20" s="46">
        <f t="shared" si="7"/>
        <v>63.2</v>
      </c>
      <c r="F20" s="46">
        <f t="shared" si="7"/>
        <v>45.55</v>
      </c>
      <c r="G20" s="46">
        <f t="shared" si="7"/>
        <v>108.75</v>
      </c>
      <c r="H20" s="63">
        <f t="shared" si="7"/>
        <v>144.688</v>
      </c>
      <c r="I20" s="63">
        <f t="shared" si="7"/>
        <v>279.625</v>
      </c>
      <c r="J20" s="46">
        <f t="shared" si="7"/>
        <v>155.634899967784</v>
      </c>
      <c r="K20" s="46" t="s">
        <v>171</v>
      </c>
      <c r="L20" s="56">
        <f>AVERAGE(L12:L19)</f>
        <v>0.291880420258472</v>
      </c>
      <c r="M20" s="56">
        <f>AVERAGE(M12:M19)</f>
        <v>0.305564968502706</v>
      </c>
      <c r="N20" s="63">
        <f>AVERAGE(N12:N19)</f>
        <v>30.0923089804965</v>
      </c>
    </row>
    <row r="21" customFormat="1"/>
    <row r="22" customFormat="1"/>
    <row r="23" customFormat="1"/>
    <row r="24" customFormat="1"/>
    <row r="25" ht="15.5" spans="1:13">
      <c r="A25" s="65"/>
      <c r="B25" s="66"/>
      <c r="C25" s="66"/>
      <c r="D25" s="66"/>
      <c r="E25" s="67"/>
      <c r="F25" s="67"/>
      <c r="G25" s="67"/>
      <c r="H25" s="66"/>
      <c r="I25" s="66"/>
      <c r="J25" s="67"/>
      <c r="K25" s="67"/>
      <c r="L25" s="70"/>
      <c r="M25" s="70"/>
    </row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spans="2:14">
      <c r="B36" s="63"/>
      <c r="C36" s="63"/>
      <c r="D36" s="63"/>
      <c r="E36" s="46"/>
      <c r="F36" s="46"/>
      <c r="G36" s="46"/>
      <c r="H36" s="63"/>
      <c r="I36" s="63"/>
      <c r="J36" s="71"/>
      <c r="K36" s="71"/>
      <c r="L36" s="56"/>
      <c r="M36" s="56"/>
      <c r="N36" s="63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zoomScale="60" zoomScaleNormal="60" workbookViewId="0">
      <selection activeCell="A2" sqref="$A2:$XFD7"/>
    </sheetView>
  </sheetViews>
  <sheetFormatPr defaultColWidth="8.90909090909091" defaultRowHeight="14" outlineLevelRow="6"/>
  <cols>
    <col min="1" max="1" width="14.7272727272727" style="2" customWidth="1"/>
    <col min="2" max="3" width="9" style="2" customWidth="1"/>
    <col min="4" max="4" width="10" style="2" customWidth="1"/>
    <col min="5" max="5" width="9" style="2" customWidth="1"/>
    <col min="6" max="6" width="10" style="2" customWidth="1"/>
    <col min="7" max="9" width="9" style="2" customWidth="1"/>
    <col min="10" max="10" width="10" style="2" customWidth="1"/>
    <col min="11" max="11" width="9" style="2" customWidth="1"/>
    <col min="12" max="12" width="11.2727272727273" style="2" customWidth="1"/>
    <col min="13" max="18" width="11.9090909090909" style="2" customWidth="1"/>
    <col min="19" max="19" width="9.45454545454546" style="8" customWidth="1"/>
    <col min="20" max="16384" width="8.90909090909091" style="2"/>
  </cols>
  <sheetData>
    <row r="1" s="49" customFormat="1" spans="1:19">
      <c r="A1" s="49" t="s">
        <v>139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2"/>
    </row>
    <row r="2" s="11" customFormat="1" spans="2:19">
      <c r="B2" s="5" t="s">
        <v>0</v>
      </c>
      <c r="C2" s="5" t="s">
        <v>2</v>
      </c>
      <c r="D2" s="50" t="s">
        <v>4</v>
      </c>
      <c r="E2" s="51" t="s">
        <v>10</v>
      </c>
      <c r="F2" s="51" t="s">
        <v>12</v>
      </c>
      <c r="G2" s="51" t="s">
        <v>14</v>
      </c>
      <c r="H2" s="5" t="s">
        <v>18</v>
      </c>
      <c r="I2" s="5" t="s">
        <v>20</v>
      </c>
      <c r="J2" s="51" t="s">
        <v>22</v>
      </c>
      <c r="K2" s="51" t="s">
        <v>16</v>
      </c>
      <c r="L2" s="51" t="s">
        <v>6</v>
      </c>
      <c r="M2" s="17" t="s">
        <v>8</v>
      </c>
      <c r="N2" s="17" t="s">
        <v>172</v>
      </c>
      <c r="O2" s="17" t="s">
        <v>173</v>
      </c>
      <c r="P2" s="11" t="s">
        <v>174</v>
      </c>
      <c r="Q2" s="11" t="s">
        <v>175</v>
      </c>
      <c r="R2" s="11" t="s">
        <v>176</v>
      </c>
      <c r="S2" s="50"/>
    </row>
    <row r="3" spans="1:18">
      <c r="A3" s="2" t="s">
        <v>177</v>
      </c>
      <c r="B3" s="7">
        <v>56.03</v>
      </c>
      <c r="C3" s="7">
        <v>15.81</v>
      </c>
      <c r="D3" s="8">
        <f>B3/C3</f>
        <v>3.54395951929159</v>
      </c>
      <c r="E3" s="7" t="s">
        <v>39</v>
      </c>
      <c r="F3" s="9">
        <v>17</v>
      </c>
      <c r="G3" s="7" t="s">
        <v>39</v>
      </c>
      <c r="H3" s="8">
        <v>292.24</v>
      </c>
      <c r="I3" s="8">
        <v>552.3</v>
      </c>
      <c r="J3" s="13">
        <f>DEGREES(ACOS((H3^2+H4^2-I3^2)/(2*H3*H4)))</f>
        <v>178.172567726291</v>
      </c>
      <c r="K3" s="13">
        <v>-2.77</v>
      </c>
      <c r="L3" s="7" t="s">
        <v>39</v>
      </c>
      <c r="M3" s="7" t="s">
        <v>39</v>
      </c>
      <c r="N3" s="7">
        <v>32.94</v>
      </c>
      <c r="O3" s="7"/>
      <c r="P3" s="7"/>
      <c r="Q3" s="7">
        <v>51.9</v>
      </c>
      <c r="R3" s="7">
        <v>52.14</v>
      </c>
    </row>
    <row r="4" spans="1:18">
      <c r="A4" s="2" t="s">
        <v>178</v>
      </c>
      <c r="B4" s="7">
        <v>56.27</v>
      </c>
      <c r="C4" s="7">
        <v>13.54</v>
      </c>
      <c r="D4" s="8">
        <f>B4/C4</f>
        <v>4.15583456425406</v>
      </c>
      <c r="E4" s="7" t="s">
        <v>39</v>
      </c>
      <c r="F4" s="9">
        <v>13</v>
      </c>
      <c r="G4" s="7" t="s">
        <v>39</v>
      </c>
      <c r="H4" s="8">
        <v>260.13</v>
      </c>
      <c r="I4" s="8">
        <v>532.35</v>
      </c>
      <c r="J4" s="13">
        <f>DEGREES(ACOS((H4^2+H5^2-I4^2)/(2*H4*H5)))</f>
        <v>180</v>
      </c>
      <c r="K4" s="13">
        <v>6.12</v>
      </c>
      <c r="L4" s="7" t="s">
        <v>39</v>
      </c>
      <c r="M4" s="7" t="s">
        <v>39</v>
      </c>
      <c r="N4" s="7">
        <v>28.32</v>
      </c>
      <c r="O4" s="7"/>
      <c r="P4" s="7"/>
      <c r="Q4" s="7">
        <v>50.81</v>
      </c>
      <c r="R4" s="7">
        <v>53.62</v>
      </c>
    </row>
    <row r="5" spans="1:18">
      <c r="A5" s="2" t="s">
        <v>179</v>
      </c>
      <c r="B5" s="7">
        <v>52.14</v>
      </c>
      <c r="C5" s="7">
        <v>14.62</v>
      </c>
      <c r="D5" s="8">
        <f>B5/C5</f>
        <v>3.56634746922025</v>
      </c>
      <c r="E5" s="7" t="s">
        <v>39</v>
      </c>
      <c r="F5" s="9">
        <v>16</v>
      </c>
      <c r="G5" s="7" t="s">
        <v>39</v>
      </c>
      <c r="H5" s="8">
        <v>272.22</v>
      </c>
      <c r="I5" s="7" t="s">
        <v>39</v>
      </c>
      <c r="J5" s="7" t="s">
        <v>39</v>
      </c>
      <c r="K5" s="7" t="s">
        <v>39</v>
      </c>
      <c r="L5" s="7" t="s">
        <v>39</v>
      </c>
      <c r="M5" s="7" t="s">
        <v>39</v>
      </c>
      <c r="N5" s="7">
        <v>28.36</v>
      </c>
      <c r="O5" s="7">
        <v>43.76</v>
      </c>
      <c r="P5" s="7">
        <v>17.56</v>
      </c>
      <c r="Q5" s="7">
        <v>50.34</v>
      </c>
      <c r="R5" s="7">
        <v>45.46</v>
      </c>
    </row>
    <row r="6" spans="1:18">
      <c r="A6" s="2" t="s">
        <v>180</v>
      </c>
      <c r="B6" s="7">
        <v>49.1</v>
      </c>
      <c r="C6" s="7" t="s">
        <v>39</v>
      </c>
      <c r="D6" s="7" t="s">
        <v>39</v>
      </c>
      <c r="E6" s="7" t="s">
        <v>39</v>
      </c>
      <c r="F6" s="9" t="s">
        <v>39</v>
      </c>
      <c r="G6" s="7" t="s">
        <v>39</v>
      </c>
      <c r="H6" s="7" t="s">
        <v>39</v>
      </c>
      <c r="I6" s="7" t="s">
        <v>39</v>
      </c>
      <c r="J6" s="7" t="s">
        <v>39</v>
      </c>
      <c r="K6" s="7" t="s">
        <v>39</v>
      </c>
      <c r="L6" s="7" t="s">
        <v>39</v>
      </c>
      <c r="M6" s="7" t="s">
        <v>39</v>
      </c>
      <c r="N6" s="7"/>
      <c r="O6" s="7">
        <v>48.13</v>
      </c>
      <c r="P6" s="7"/>
      <c r="Q6" s="7"/>
      <c r="R6" s="7"/>
    </row>
    <row r="7" spans="1:18">
      <c r="A7" s="2" t="s">
        <v>108</v>
      </c>
      <c r="B7" s="7">
        <f t="shared" ref="B7:F7" si="0">AVERAGE(B3:B6)</f>
        <v>53.385</v>
      </c>
      <c r="C7" s="7">
        <f t="shared" si="0"/>
        <v>14.6566666666667</v>
      </c>
      <c r="D7" s="7">
        <f t="shared" si="0"/>
        <v>3.75538051758863</v>
      </c>
      <c r="E7" s="7" t="s">
        <v>39</v>
      </c>
      <c r="F7" s="9">
        <f t="shared" si="0"/>
        <v>15.3333333333333</v>
      </c>
      <c r="G7" s="7" t="s">
        <v>39</v>
      </c>
      <c r="H7" s="7">
        <f>AVERAGE(H3:H6)</f>
        <v>274.863333333333</v>
      </c>
      <c r="I7" s="7">
        <f>AVERAGE(I3:I6)</f>
        <v>542.325</v>
      </c>
      <c r="J7" s="9">
        <v>179</v>
      </c>
      <c r="K7" s="13" t="s">
        <v>181</v>
      </c>
      <c r="L7" s="7" t="s">
        <v>39</v>
      </c>
      <c r="M7" s="7" t="s">
        <v>39</v>
      </c>
      <c r="N7" s="7">
        <f t="shared" ref="N7:R7" si="1">AVERAGE(N3:N6)</f>
        <v>29.8733333333333</v>
      </c>
      <c r="O7" s="7">
        <f t="shared" si="1"/>
        <v>45.945</v>
      </c>
      <c r="P7" s="7">
        <f t="shared" si="1"/>
        <v>17.56</v>
      </c>
      <c r="Q7" s="7">
        <f t="shared" si="1"/>
        <v>51.0166666666667</v>
      </c>
      <c r="R7" s="7">
        <f t="shared" si="1"/>
        <v>50.4066666666667</v>
      </c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zoomScale="80" zoomScaleNormal="80" workbookViewId="0">
      <selection activeCell="C19" sqref="C19"/>
    </sheetView>
  </sheetViews>
  <sheetFormatPr defaultColWidth="8.90909090909091" defaultRowHeight="14"/>
  <cols>
    <col min="1" max="1" width="11.2181818181818" style="39" customWidth="1"/>
    <col min="2" max="2" width="8.55454545454545" style="39" customWidth="1"/>
    <col min="3" max="3" width="8" style="39" customWidth="1"/>
    <col min="4" max="4" width="8.33636363636364" style="39" customWidth="1"/>
    <col min="5" max="5" width="8.89090909090909" style="39" customWidth="1"/>
    <col min="6" max="6" width="12.4454545454545" style="39" customWidth="1"/>
    <col min="7" max="7" width="8" style="39" customWidth="1"/>
    <col min="8" max="8" width="11" style="39" customWidth="1"/>
    <col min="9" max="9" width="8.44545454545455" style="39" customWidth="1"/>
    <col min="10" max="10" width="8.66363636363636" style="39" customWidth="1"/>
    <col min="11" max="16384" width="8.90909090909091" style="39"/>
  </cols>
  <sheetData>
    <row r="1" s="1" customFormat="1" spans="1:1">
      <c r="A1" s="1" t="s">
        <v>32</v>
      </c>
    </row>
    <row r="2" spans="2:14">
      <c r="B2" s="40" t="s">
        <v>0</v>
      </c>
      <c r="C2" s="40" t="s">
        <v>2</v>
      </c>
      <c r="D2" s="41" t="s">
        <v>4</v>
      </c>
      <c r="E2" s="42" t="s">
        <v>6</v>
      </c>
      <c r="F2" s="43" t="s">
        <v>146</v>
      </c>
      <c r="G2" s="42" t="s">
        <v>10</v>
      </c>
      <c r="H2" s="42" t="s">
        <v>12</v>
      </c>
      <c r="I2" s="42" t="s">
        <v>14</v>
      </c>
      <c r="K2" s="40"/>
      <c r="L2" s="42"/>
      <c r="M2" s="42"/>
      <c r="N2" s="42"/>
    </row>
    <row r="3" spans="1:14">
      <c r="A3" s="39" t="s">
        <v>182</v>
      </c>
      <c r="B3" s="44">
        <v>13.94</v>
      </c>
      <c r="C3" s="44">
        <v>15.08</v>
      </c>
      <c r="D3" s="44">
        <f>B3/C3</f>
        <v>0.924403183023873</v>
      </c>
      <c r="E3" s="45">
        <f>4.07/15.08</f>
        <v>0.269893899204244</v>
      </c>
      <c r="F3" s="39" t="s">
        <v>39</v>
      </c>
      <c r="G3" s="46">
        <v>57.4</v>
      </c>
      <c r="H3" s="46">
        <v>39.23</v>
      </c>
      <c r="I3" s="46">
        <f>G3+H3</f>
        <v>96.63</v>
      </c>
      <c r="K3" s="48"/>
      <c r="L3" s="48"/>
      <c r="M3" s="48"/>
      <c r="N3" s="48"/>
    </row>
    <row r="4" spans="1:14">
      <c r="A4" s="39" t="s">
        <v>183</v>
      </c>
      <c r="B4" s="44">
        <v>6.02</v>
      </c>
      <c r="C4" s="39" t="s">
        <v>39</v>
      </c>
      <c r="D4" s="39" t="s">
        <v>39</v>
      </c>
      <c r="E4" s="39" t="s">
        <v>39</v>
      </c>
      <c r="F4" s="39" t="s">
        <v>39</v>
      </c>
      <c r="G4" s="39" t="s">
        <v>39</v>
      </c>
      <c r="H4" s="39" t="s">
        <v>39</v>
      </c>
      <c r="I4" s="39" t="s">
        <v>39</v>
      </c>
      <c r="J4" s="44"/>
      <c r="K4" s="48"/>
      <c r="L4" s="48"/>
      <c r="M4" s="48"/>
      <c r="N4" s="48"/>
    </row>
    <row r="5" spans="1:14">
      <c r="A5" s="39" t="s">
        <v>184</v>
      </c>
      <c r="B5" s="44">
        <v>8.02</v>
      </c>
      <c r="C5" s="44">
        <v>8.28</v>
      </c>
      <c r="D5" s="44">
        <f>B5/C5</f>
        <v>0.968599033816425</v>
      </c>
      <c r="E5" s="45">
        <f>1.27/8.28</f>
        <v>0.153381642512077</v>
      </c>
      <c r="F5" s="39" t="s">
        <v>39</v>
      </c>
      <c r="G5" s="46">
        <v>40.62</v>
      </c>
      <c r="H5" s="46">
        <v>22.49</v>
      </c>
      <c r="I5" s="46">
        <f>G5+H5</f>
        <v>63.11</v>
      </c>
      <c r="K5" s="48"/>
      <c r="L5" s="48"/>
      <c r="M5" s="48"/>
      <c r="N5" s="48"/>
    </row>
    <row r="6" spans="1:14">
      <c r="A6" s="39" t="s">
        <v>185</v>
      </c>
      <c r="B6" s="44">
        <v>40.19</v>
      </c>
      <c r="C6" s="44">
        <v>30.09</v>
      </c>
      <c r="D6" s="44">
        <f>B6/C6</f>
        <v>1.33565968760386</v>
      </c>
      <c r="E6" s="45">
        <f>10.28/30.09</f>
        <v>0.34164174144234</v>
      </c>
      <c r="F6" s="39" t="s">
        <v>39</v>
      </c>
      <c r="G6" s="46">
        <v>38.22</v>
      </c>
      <c r="H6" s="46">
        <v>23.09</v>
      </c>
      <c r="I6" s="46">
        <f>G6+H6</f>
        <v>61.31</v>
      </c>
      <c r="K6" s="48"/>
      <c r="L6" s="48"/>
      <c r="M6" s="48"/>
      <c r="N6" s="48"/>
    </row>
    <row r="7" spans="1:14">
      <c r="A7" s="39" t="s">
        <v>186</v>
      </c>
      <c r="B7" s="44">
        <v>11.5</v>
      </c>
      <c r="C7" s="39" t="s">
        <v>39</v>
      </c>
      <c r="D7" s="39" t="s">
        <v>39</v>
      </c>
      <c r="E7" s="39" t="s">
        <v>39</v>
      </c>
      <c r="F7" s="39" t="s">
        <v>39</v>
      </c>
      <c r="G7" s="39" t="s">
        <v>39</v>
      </c>
      <c r="H7" s="39" t="s">
        <v>39</v>
      </c>
      <c r="I7" s="39" t="s">
        <v>39</v>
      </c>
      <c r="J7" s="44"/>
      <c r="K7" s="48"/>
      <c r="L7" s="48"/>
      <c r="M7" s="48"/>
      <c r="N7" s="48"/>
    </row>
    <row r="8" spans="1:14">
      <c r="A8" s="39" t="s">
        <v>187</v>
      </c>
      <c r="B8" s="44">
        <v>10.2</v>
      </c>
      <c r="C8" s="39" t="s">
        <v>39</v>
      </c>
      <c r="D8" s="39" t="s">
        <v>39</v>
      </c>
      <c r="E8" s="39" t="s">
        <v>39</v>
      </c>
      <c r="F8" s="39" t="s">
        <v>39</v>
      </c>
      <c r="G8" s="39" t="s">
        <v>39</v>
      </c>
      <c r="H8" s="39" t="s">
        <v>39</v>
      </c>
      <c r="I8" s="39" t="s">
        <v>39</v>
      </c>
      <c r="J8" s="44"/>
      <c r="K8" s="48"/>
      <c r="L8" s="48"/>
      <c r="M8" s="48"/>
      <c r="N8" s="48"/>
    </row>
    <row r="9" customFormat="1"/>
    <row r="10" spans="8:14">
      <c r="H10" s="47"/>
      <c r="I10" s="47"/>
      <c r="J10" s="47"/>
      <c r="K10" s="47"/>
      <c r="L10" s="47"/>
      <c r="M10" s="47"/>
      <c r="N10" s="47"/>
    </row>
  </sheetData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8"/>
  <sheetViews>
    <sheetView tabSelected="1" zoomScale="50" zoomScaleNormal="50" workbookViewId="0">
      <selection activeCell="A31" sqref="A31"/>
    </sheetView>
  </sheetViews>
  <sheetFormatPr defaultColWidth="8.90909090909091" defaultRowHeight="14"/>
  <cols>
    <col min="1" max="1" width="16.0909090909091" style="4" customWidth="1"/>
    <col min="2" max="4" width="8.90909090909091" style="4"/>
    <col min="5" max="7" width="9.90909090909091" style="4"/>
    <col min="8" max="11" width="8.90909090909091" style="4"/>
    <col min="12" max="12" width="9.90909090909091" style="4"/>
    <col min="13" max="16384" width="8.90909090909091" style="4"/>
  </cols>
  <sheetData>
    <row r="1" s="1" customFormat="1" spans="1:1">
      <c r="A1" s="1" t="s">
        <v>139</v>
      </c>
    </row>
    <row r="2" spans="1:15">
      <c r="A2" s="2"/>
      <c r="B2" s="5" t="s">
        <v>0</v>
      </c>
      <c r="C2" s="5" t="s">
        <v>2</v>
      </c>
      <c r="D2" s="5" t="s">
        <v>143</v>
      </c>
      <c r="E2" s="5" t="s">
        <v>4</v>
      </c>
      <c r="F2" s="5" t="s">
        <v>144</v>
      </c>
      <c r="G2" s="6" t="s">
        <v>14</v>
      </c>
      <c r="H2" s="6" t="s">
        <v>10</v>
      </c>
      <c r="I2" s="6" t="s">
        <v>12</v>
      </c>
      <c r="J2" s="5" t="s">
        <v>18</v>
      </c>
      <c r="K2" s="5" t="s">
        <v>20</v>
      </c>
      <c r="L2" s="6" t="s">
        <v>22</v>
      </c>
      <c r="M2" s="6" t="s">
        <v>16</v>
      </c>
      <c r="N2" s="17" t="s">
        <v>6</v>
      </c>
      <c r="O2" s="4" t="s">
        <v>188</v>
      </c>
    </row>
    <row r="3" spans="1:14">
      <c r="A3" s="2" t="s">
        <v>189</v>
      </c>
      <c r="B3" s="7">
        <v>33.95</v>
      </c>
      <c r="C3" s="2" t="s">
        <v>38</v>
      </c>
      <c r="D3" s="8">
        <v>25.38</v>
      </c>
      <c r="E3" s="2" t="s">
        <v>38</v>
      </c>
      <c r="F3" s="7">
        <f t="shared" ref="F3:F10" si="0">B3/D3</f>
        <v>1.33766745468873</v>
      </c>
      <c r="G3" s="9" t="s">
        <v>38</v>
      </c>
      <c r="H3" s="9" t="s">
        <v>38</v>
      </c>
      <c r="I3" s="9" t="s">
        <v>38</v>
      </c>
      <c r="J3" s="8">
        <v>85.49</v>
      </c>
      <c r="K3" s="8">
        <v>179.76</v>
      </c>
      <c r="L3" s="13">
        <v>153.27</v>
      </c>
      <c r="M3" s="13" t="s">
        <v>38</v>
      </c>
      <c r="N3" s="12" t="s">
        <v>38</v>
      </c>
    </row>
    <row r="4" spans="1:14">
      <c r="A4" s="2" t="s">
        <v>190</v>
      </c>
      <c r="B4" s="9" t="s">
        <v>38</v>
      </c>
      <c r="C4" s="2" t="s">
        <v>38</v>
      </c>
      <c r="D4" s="8">
        <v>32.58</v>
      </c>
      <c r="E4" s="2" t="s">
        <v>38</v>
      </c>
      <c r="F4" s="9" t="s">
        <v>38</v>
      </c>
      <c r="G4" s="9" t="s">
        <v>38</v>
      </c>
      <c r="H4" s="9" t="s">
        <v>38</v>
      </c>
      <c r="I4" s="9" t="s">
        <v>38</v>
      </c>
      <c r="J4" s="8">
        <v>78.3</v>
      </c>
      <c r="K4" s="8" t="s">
        <v>38</v>
      </c>
      <c r="L4" s="13" t="s">
        <v>38</v>
      </c>
      <c r="M4" s="13" t="s">
        <v>38</v>
      </c>
      <c r="N4" s="12" t="s">
        <v>38</v>
      </c>
    </row>
    <row r="5" spans="1:14">
      <c r="A5" s="2" t="s">
        <v>191</v>
      </c>
      <c r="B5" s="7">
        <v>36.01</v>
      </c>
      <c r="C5" s="2" t="s">
        <v>38</v>
      </c>
      <c r="D5" s="8">
        <v>24.81</v>
      </c>
      <c r="E5" s="2" t="s">
        <v>38</v>
      </c>
      <c r="F5" s="7">
        <f t="shared" si="0"/>
        <v>1.45143087464732</v>
      </c>
      <c r="G5" s="9" t="s">
        <v>38</v>
      </c>
      <c r="H5" s="9" t="s">
        <v>38</v>
      </c>
      <c r="I5" s="9" t="s">
        <v>38</v>
      </c>
      <c r="J5" s="8">
        <v>127.87</v>
      </c>
      <c r="K5" s="8">
        <v>201.3</v>
      </c>
      <c r="L5" s="13">
        <f>DEGREES(ACOS((J5^2+J6^2-K5^2)/(2*J5*J6)))</f>
        <v>169.619275496071</v>
      </c>
      <c r="M5" s="13">
        <v>-11.9</v>
      </c>
      <c r="N5" s="12" t="s">
        <v>38</v>
      </c>
    </row>
    <row r="6" spans="1:14">
      <c r="A6" s="2" t="s">
        <v>192</v>
      </c>
      <c r="B6" s="7">
        <v>37.47</v>
      </c>
      <c r="C6" s="7">
        <v>25.6</v>
      </c>
      <c r="D6" s="8">
        <v>29.3</v>
      </c>
      <c r="E6" s="7">
        <f t="shared" ref="E6:E10" si="1">B6/C6</f>
        <v>1.463671875</v>
      </c>
      <c r="F6" s="7">
        <f t="shared" si="0"/>
        <v>1.27883959044369</v>
      </c>
      <c r="G6" s="9">
        <f t="shared" ref="G6:G10" si="2">H6+I6</f>
        <v>49</v>
      </c>
      <c r="H6" s="9">
        <v>20</v>
      </c>
      <c r="I6" s="9">
        <v>29</v>
      </c>
      <c r="J6" s="8">
        <v>74.2</v>
      </c>
      <c r="K6" s="8" t="s">
        <v>38</v>
      </c>
      <c r="L6" s="13" t="s">
        <v>38</v>
      </c>
      <c r="M6" s="13">
        <v>2.07</v>
      </c>
      <c r="N6" s="12">
        <f>9.36/25.6</f>
        <v>0.365625</v>
      </c>
    </row>
    <row r="7" spans="1:14">
      <c r="A7" s="2" t="s">
        <v>193</v>
      </c>
      <c r="B7" s="7">
        <v>38.1</v>
      </c>
      <c r="C7" s="7">
        <v>27</v>
      </c>
      <c r="D7" s="8">
        <v>30.9</v>
      </c>
      <c r="E7" s="7">
        <f t="shared" si="1"/>
        <v>1.41111111111111</v>
      </c>
      <c r="F7" s="7">
        <f t="shared" si="0"/>
        <v>1.23300970873786</v>
      </c>
      <c r="G7" s="9">
        <f t="shared" si="2"/>
        <v>40</v>
      </c>
      <c r="H7" s="9">
        <v>19</v>
      </c>
      <c r="I7" s="9">
        <v>21</v>
      </c>
      <c r="J7" s="8" t="s">
        <v>38</v>
      </c>
      <c r="K7" s="8">
        <v>177.19</v>
      </c>
      <c r="L7" s="13" t="s">
        <v>38</v>
      </c>
      <c r="M7" s="13">
        <v>9.18</v>
      </c>
      <c r="N7" s="12">
        <f>5.7/27</f>
        <v>0.211111111111111</v>
      </c>
    </row>
    <row r="8" spans="1:14">
      <c r="A8" s="2" t="s">
        <v>194</v>
      </c>
      <c r="B8" s="7">
        <v>25.41</v>
      </c>
      <c r="C8" s="7">
        <v>23.3</v>
      </c>
      <c r="D8" s="8">
        <v>29.6</v>
      </c>
      <c r="E8" s="7">
        <f t="shared" si="1"/>
        <v>1.09055793991416</v>
      </c>
      <c r="F8" s="7">
        <f t="shared" si="0"/>
        <v>0.858445945945946</v>
      </c>
      <c r="G8" s="9">
        <f t="shared" si="2"/>
        <v>55</v>
      </c>
      <c r="H8" s="9">
        <v>28</v>
      </c>
      <c r="I8" s="9">
        <v>27</v>
      </c>
      <c r="J8" s="8" t="s">
        <v>38</v>
      </c>
      <c r="K8" s="8" t="s">
        <v>38</v>
      </c>
      <c r="L8" s="13" t="s">
        <v>38</v>
      </c>
      <c r="M8" s="13" t="s">
        <v>38</v>
      </c>
      <c r="N8" s="12">
        <f>9/23.3</f>
        <v>0.386266094420601</v>
      </c>
    </row>
    <row r="9" spans="1:14">
      <c r="A9" s="2" t="s">
        <v>195</v>
      </c>
      <c r="B9" s="7">
        <v>30.3</v>
      </c>
      <c r="C9" s="7">
        <v>21.4</v>
      </c>
      <c r="D9" s="8">
        <v>25.76</v>
      </c>
      <c r="E9" s="7">
        <f t="shared" si="1"/>
        <v>1.41588785046729</v>
      </c>
      <c r="F9" s="7">
        <f t="shared" si="0"/>
        <v>1.17624223602484</v>
      </c>
      <c r="G9" s="9">
        <f t="shared" si="2"/>
        <v>49</v>
      </c>
      <c r="H9" s="9">
        <v>27</v>
      </c>
      <c r="I9" s="9">
        <v>22</v>
      </c>
      <c r="J9" s="8" t="s">
        <v>38</v>
      </c>
      <c r="K9" s="8" t="s">
        <v>38</v>
      </c>
      <c r="L9" s="13" t="s">
        <v>38</v>
      </c>
      <c r="M9" s="13">
        <v>-6.03</v>
      </c>
      <c r="N9" s="12">
        <f>7.5/21.4</f>
        <v>0.350467289719626</v>
      </c>
    </row>
    <row r="10" spans="1:14">
      <c r="A10" s="2" t="s">
        <v>196</v>
      </c>
      <c r="B10" s="7">
        <v>30.5</v>
      </c>
      <c r="C10" s="7">
        <v>23.6</v>
      </c>
      <c r="D10" s="8">
        <v>28.5</v>
      </c>
      <c r="E10" s="7">
        <f t="shared" si="1"/>
        <v>1.29237288135593</v>
      </c>
      <c r="F10" s="7">
        <f t="shared" si="0"/>
        <v>1.07017543859649</v>
      </c>
      <c r="G10" s="9">
        <f t="shared" si="2"/>
        <v>54</v>
      </c>
      <c r="H10" s="9">
        <v>26</v>
      </c>
      <c r="I10" s="9">
        <v>28</v>
      </c>
      <c r="J10" s="8" t="s">
        <v>38</v>
      </c>
      <c r="K10" s="8" t="s">
        <v>38</v>
      </c>
      <c r="L10" s="13" t="s">
        <v>38</v>
      </c>
      <c r="M10" s="13" t="s">
        <v>38</v>
      </c>
      <c r="N10" s="12">
        <f>7.1/23.6</f>
        <v>0.300847457627119</v>
      </c>
    </row>
    <row r="11" spans="1:14">
      <c r="A11" s="2" t="s">
        <v>108</v>
      </c>
      <c r="B11" s="7">
        <f t="shared" ref="B11:L11" si="3">AVERAGE(B3:B10)</f>
        <v>33.1057142857143</v>
      </c>
      <c r="C11" s="7">
        <f t="shared" si="3"/>
        <v>24.18</v>
      </c>
      <c r="D11" s="8">
        <f t="shared" si="3"/>
        <v>28.35375</v>
      </c>
      <c r="E11" s="7">
        <f t="shared" si="3"/>
        <v>1.3347203315697</v>
      </c>
      <c r="F11" s="7">
        <f t="shared" si="3"/>
        <v>1.2008301784407</v>
      </c>
      <c r="G11" s="9">
        <f t="shared" si="3"/>
        <v>49.4</v>
      </c>
      <c r="H11" s="9">
        <f t="shared" si="3"/>
        <v>24</v>
      </c>
      <c r="I11" s="9">
        <f t="shared" si="3"/>
        <v>25.4</v>
      </c>
      <c r="J11" s="8">
        <f t="shared" si="3"/>
        <v>91.465</v>
      </c>
      <c r="K11" s="8">
        <f t="shared" si="3"/>
        <v>186.083333333333</v>
      </c>
      <c r="L11" s="13">
        <f t="shared" si="3"/>
        <v>161.444637748036</v>
      </c>
      <c r="M11" s="7" t="s">
        <v>197</v>
      </c>
      <c r="N11" s="18">
        <f>AVERAGE(N3:N10)</f>
        <v>0.322863390575691</v>
      </c>
    </row>
    <row r="12" spans="1:14">
      <c r="A12" s="2"/>
      <c r="B12" s="5"/>
      <c r="C12" s="5"/>
      <c r="D12" s="5"/>
      <c r="E12" s="5"/>
      <c r="F12" s="5"/>
      <c r="G12" s="6"/>
      <c r="H12" s="6"/>
      <c r="I12" s="6"/>
      <c r="J12" s="5"/>
      <c r="K12" s="5"/>
      <c r="L12" s="6"/>
      <c r="M12" s="6"/>
      <c r="N12" s="17"/>
    </row>
    <row r="13" spans="1:14">
      <c r="A13" s="2" t="s">
        <v>198</v>
      </c>
      <c r="B13" s="7">
        <v>15.57</v>
      </c>
      <c r="C13" s="2" t="s">
        <v>38</v>
      </c>
      <c r="D13" s="7">
        <v>19.7</v>
      </c>
      <c r="E13" s="7" t="s">
        <v>38</v>
      </c>
      <c r="F13" s="7">
        <f t="shared" ref="F13:F20" si="4">B13/D13</f>
        <v>0.790355329949239</v>
      </c>
      <c r="G13" s="9" t="s">
        <v>38</v>
      </c>
      <c r="H13" s="9" t="s">
        <v>38</v>
      </c>
      <c r="I13" s="9" t="s">
        <v>38</v>
      </c>
      <c r="J13" s="7">
        <v>63.21</v>
      </c>
      <c r="K13" s="7">
        <v>122.7</v>
      </c>
      <c r="L13" s="9">
        <f t="shared" ref="L13:L17" si="5">DEGREES(ACOS((J13^2+J14^2-K13^2)/(2*J13*J14)))</f>
        <v>138.612683607255</v>
      </c>
      <c r="M13" s="13" t="s">
        <v>38</v>
      </c>
      <c r="N13" s="12" t="s">
        <v>38</v>
      </c>
    </row>
    <row r="14" spans="1:14">
      <c r="A14" s="2" t="s">
        <v>199</v>
      </c>
      <c r="B14" s="7">
        <v>31.03</v>
      </c>
      <c r="C14" s="7" t="s">
        <v>38</v>
      </c>
      <c r="D14" s="9" t="s">
        <v>38</v>
      </c>
      <c r="E14" s="7" t="s">
        <v>38</v>
      </c>
      <c r="F14" s="7" t="s">
        <v>38</v>
      </c>
      <c r="G14" s="9" t="s">
        <v>38</v>
      </c>
      <c r="H14" s="9">
        <v>18.81</v>
      </c>
      <c r="I14" s="9" t="s">
        <v>38</v>
      </c>
      <c r="J14" s="7">
        <v>67.94</v>
      </c>
      <c r="K14" s="7">
        <v>127.39</v>
      </c>
      <c r="L14" s="9">
        <f t="shared" si="5"/>
        <v>141.412410939115</v>
      </c>
      <c r="M14" s="13" t="s">
        <v>38</v>
      </c>
      <c r="N14" s="12" t="s">
        <v>38</v>
      </c>
    </row>
    <row r="15" spans="1:14">
      <c r="A15" s="2" t="s">
        <v>200</v>
      </c>
      <c r="B15" s="7">
        <v>25.86</v>
      </c>
      <c r="C15" s="7">
        <v>16.8</v>
      </c>
      <c r="D15" s="10">
        <v>19.46</v>
      </c>
      <c r="E15" s="7">
        <f t="shared" ref="E15:E18" si="6">B15/C15</f>
        <v>1.53928571428571</v>
      </c>
      <c r="F15" s="7">
        <f t="shared" si="4"/>
        <v>1.32887975334018</v>
      </c>
      <c r="G15" s="9">
        <f t="shared" ref="G15:G18" si="7">H15+I15</f>
        <v>41</v>
      </c>
      <c r="H15" s="9">
        <v>20</v>
      </c>
      <c r="I15" s="9">
        <v>21</v>
      </c>
      <c r="J15" s="7">
        <v>67.03</v>
      </c>
      <c r="K15" s="7">
        <v>129.63</v>
      </c>
      <c r="L15" s="9">
        <f t="shared" si="5"/>
        <v>157.670911427145</v>
      </c>
      <c r="M15" s="13">
        <v>25.66</v>
      </c>
      <c r="N15" s="12">
        <f>3.96/16.8</f>
        <v>0.235714285714286</v>
      </c>
    </row>
    <row r="16" spans="1:14">
      <c r="A16" s="2" t="s">
        <v>201</v>
      </c>
      <c r="B16" s="7">
        <v>23.86</v>
      </c>
      <c r="C16" s="7">
        <v>15.29</v>
      </c>
      <c r="D16" s="10">
        <v>20.91</v>
      </c>
      <c r="E16" s="7">
        <f t="shared" si="6"/>
        <v>1.56049705689993</v>
      </c>
      <c r="F16" s="7">
        <f t="shared" si="4"/>
        <v>1.14108082257293</v>
      </c>
      <c r="G16" s="9">
        <f t="shared" si="7"/>
        <v>45</v>
      </c>
      <c r="H16" s="9">
        <v>24</v>
      </c>
      <c r="I16" s="9">
        <v>21</v>
      </c>
      <c r="J16" s="7">
        <v>65.1</v>
      </c>
      <c r="K16" s="7">
        <v>127.32</v>
      </c>
      <c r="L16" s="9">
        <f t="shared" si="5"/>
        <v>163.445836602458</v>
      </c>
      <c r="M16" s="13">
        <v>7.06</v>
      </c>
      <c r="N16" s="12">
        <f>5.52/15.29</f>
        <v>0.361020274689339</v>
      </c>
    </row>
    <row r="17" spans="1:14">
      <c r="A17" s="2" t="s">
        <v>202</v>
      </c>
      <c r="B17" s="7">
        <v>22.74</v>
      </c>
      <c r="C17" s="7">
        <v>15</v>
      </c>
      <c r="D17" s="10">
        <v>19.7</v>
      </c>
      <c r="E17" s="7">
        <f t="shared" si="6"/>
        <v>1.516</v>
      </c>
      <c r="F17" s="7">
        <f t="shared" si="4"/>
        <v>1.15431472081218</v>
      </c>
      <c r="G17" s="9">
        <f t="shared" si="7"/>
        <v>41</v>
      </c>
      <c r="H17" s="9">
        <v>26</v>
      </c>
      <c r="I17" s="9">
        <v>15</v>
      </c>
      <c r="J17" s="7">
        <v>63.56</v>
      </c>
      <c r="K17" s="7">
        <v>123.09</v>
      </c>
      <c r="L17" s="9">
        <f t="shared" si="5"/>
        <v>162.855350094976</v>
      </c>
      <c r="M17" s="13">
        <v>3.09</v>
      </c>
      <c r="N17" s="12">
        <f>2.66/15</f>
        <v>0.177333333333333</v>
      </c>
    </row>
    <row r="18" spans="1:14">
      <c r="A18" s="2" t="s">
        <v>203</v>
      </c>
      <c r="B18" s="7">
        <v>26.27</v>
      </c>
      <c r="C18" s="7">
        <v>20.72</v>
      </c>
      <c r="D18" s="10">
        <v>22.18</v>
      </c>
      <c r="E18" s="7">
        <f t="shared" si="6"/>
        <v>1.26785714285714</v>
      </c>
      <c r="F18" s="7">
        <f t="shared" si="4"/>
        <v>1.1844003606853</v>
      </c>
      <c r="G18" s="9">
        <f t="shared" si="7"/>
        <v>59</v>
      </c>
      <c r="H18" s="9">
        <v>31</v>
      </c>
      <c r="I18" s="9">
        <v>28</v>
      </c>
      <c r="J18" s="7">
        <v>60.92</v>
      </c>
      <c r="K18" s="7" t="s">
        <v>38</v>
      </c>
      <c r="L18" s="9" t="s">
        <v>38</v>
      </c>
      <c r="M18" s="13">
        <v>-13.12</v>
      </c>
      <c r="N18" s="12">
        <f>8.32/20.72</f>
        <v>0.401544401544402</v>
      </c>
    </row>
    <row r="19" spans="1:14">
      <c r="A19" s="2" t="s">
        <v>204</v>
      </c>
      <c r="B19" s="7">
        <v>21.37</v>
      </c>
      <c r="C19" s="2" t="s">
        <v>38</v>
      </c>
      <c r="D19" s="7">
        <v>18.01</v>
      </c>
      <c r="E19" s="7" t="s">
        <v>38</v>
      </c>
      <c r="F19" s="7">
        <f t="shared" si="4"/>
        <v>1.18656302054414</v>
      </c>
      <c r="G19" s="9" t="s">
        <v>38</v>
      </c>
      <c r="H19" s="9" t="s">
        <v>38</v>
      </c>
      <c r="I19" s="9" t="s">
        <v>38</v>
      </c>
      <c r="J19" s="9" t="s">
        <v>38</v>
      </c>
      <c r="K19" s="7">
        <v>126.06</v>
      </c>
      <c r="L19" s="9" t="s">
        <v>38</v>
      </c>
      <c r="M19" s="13">
        <v>14.03</v>
      </c>
      <c r="N19" s="12" t="s">
        <v>38</v>
      </c>
    </row>
    <row r="20" spans="1:14">
      <c r="A20" s="2" t="s">
        <v>205</v>
      </c>
      <c r="B20" s="7">
        <v>26.61</v>
      </c>
      <c r="C20" s="2" t="s">
        <v>38</v>
      </c>
      <c r="D20" s="7">
        <v>18.61</v>
      </c>
      <c r="E20" s="7" t="s">
        <v>38</v>
      </c>
      <c r="F20" s="7">
        <f t="shared" si="4"/>
        <v>1.42987641053197</v>
      </c>
      <c r="G20" s="9" t="s">
        <v>38</v>
      </c>
      <c r="H20" s="9" t="s">
        <v>38</v>
      </c>
      <c r="I20" s="9" t="s">
        <v>38</v>
      </c>
      <c r="J20" s="9" t="s">
        <v>38</v>
      </c>
      <c r="K20" s="7">
        <v>124.2</v>
      </c>
      <c r="L20" s="9" t="s">
        <v>38</v>
      </c>
      <c r="M20" s="13">
        <v>16.77</v>
      </c>
      <c r="N20" s="12" t="s">
        <v>38</v>
      </c>
    </row>
    <row r="21" spans="1:14">
      <c r="A21" s="2" t="s">
        <v>206</v>
      </c>
      <c r="B21" s="9" t="s">
        <v>38</v>
      </c>
      <c r="C21" s="7">
        <v>18.83</v>
      </c>
      <c r="D21" s="10">
        <v>21.98</v>
      </c>
      <c r="E21" s="7" t="s">
        <v>38</v>
      </c>
      <c r="F21" s="9" t="s">
        <v>38</v>
      </c>
      <c r="G21" s="9" t="s">
        <v>38</v>
      </c>
      <c r="H21" s="9" t="s">
        <v>38</v>
      </c>
      <c r="I21" s="9" t="s">
        <v>38</v>
      </c>
      <c r="J21" s="7">
        <v>57.44</v>
      </c>
      <c r="K21" s="7">
        <v>111.64</v>
      </c>
      <c r="L21" s="9">
        <f>DEGREES(ACOS((J21^2+J22^2-K21^2)/(2*J21*J22)))</f>
        <v>166.234456613743</v>
      </c>
      <c r="M21" s="13">
        <v>-0.88</v>
      </c>
      <c r="N21" s="12" t="s">
        <v>38</v>
      </c>
    </row>
    <row r="22" spans="1:14">
      <c r="A22" s="2" t="s">
        <v>207</v>
      </c>
      <c r="B22" s="7">
        <v>27.51</v>
      </c>
      <c r="C22" s="7">
        <v>15.52</v>
      </c>
      <c r="D22" s="10">
        <v>22.91</v>
      </c>
      <c r="E22" s="7">
        <f t="shared" ref="E22:E27" si="8">B22/C22</f>
        <v>1.77255154639175</v>
      </c>
      <c r="F22" s="7">
        <f t="shared" ref="F22:F27" si="9">B22/D22</f>
        <v>1.20078568310781</v>
      </c>
      <c r="G22" s="9">
        <f t="shared" ref="G22:G27" si="10">H22+I22</f>
        <v>38</v>
      </c>
      <c r="H22" s="9">
        <v>21</v>
      </c>
      <c r="I22" s="9">
        <v>17</v>
      </c>
      <c r="J22" s="7">
        <v>55.01</v>
      </c>
      <c r="K22" s="9" t="s">
        <v>38</v>
      </c>
      <c r="L22" s="9" t="s">
        <v>38</v>
      </c>
      <c r="M22" s="13" t="s">
        <v>38</v>
      </c>
      <c r="N22" s="12">
        <f>5.38/15.52</f>
        <v>0.346649484536082</v>
      </c>
    </row>
    <row r="23" spans="1:14">
      <c r="A23" s="2" t="s">
        <v>208</v>
      </c>
      <c r="B23" s="7">
        <v>19.24</v>
      </c>
      <c r="C23" s="7">
        <v>20.34</v>
      </c>
      <c r="D23" s="10">
        <v>21.39</v>
      </c>
      <c r="E23" s="7">
        <f t="shared" si="8"/>
        <v>0.945919370698132</v>
      </c>
      <c r="F23" s="7">
        <f t="shared" si="9"/>
        <v>0.899485741000467</v>
      </c>
      <c r="G23" s="9">
        <f t="shared" si="10"/>
        <v>68.52</v>
      </c>
      <c r="H23" s="9">
        <v>43.35</v>
      </c>
      <c r="I23" s="9">
        <v>25.17</v>
      </c>
      <c r="J23" s="9" t="s">
        <v>38</v>
      </c>
      <c r="K23" s="9" t="s">
        <v>38</v>
      </c>
      <c r="L23" s="9" t="s">
        <v>38</v>
      </c>
      <c r="M23" s="13">
        <v>6.64</v>
      </c>
      <c r="N23" s="12">
        <f>3.91/20.34</f>
        <v>0.192232055063913</v>
      </c>
    </row>
    <row r="24" spans="1:14">
      <c r="A24" s="2" t="s">
        <v>209</v>
      </c>
      <c r="B24" s="7">
        <v>18.27</v>
      </c>
      <c r="C24" s="2" t="s">
        <v>38</v>
      </c>
      <c r="D24" s="7">
        <v>20.2</v>
      </c>
      <c r="E24" s="7" t="s">
        <v>38</v>
      </c>
      <c r="F24" s="7">
        <f t="shared" si="9"/>
        <v>0.904455445544554</v>
      </c>
      <c r="G24" s="9" t="s">
        <v>38</v>
      </c>
      <c r="H24" s="9" t="s">
        <v>38</v>
      </c>
      <c r="I24" s="9" t="s">
        <v>38</v>
      </c>
      <c r="J24" s="9" t="s">
        <v>38</v>
      </c>
      <c r="K24" s="7">
        <v>104.55</v>
      </c>
      <c r="L24" s="9" t="s">
        <v>38</v>
      </c>
      <c r="M24" s="13" t="s">
        <v>38</v>
      </c>
      <c r="N24" s="12" t="s">
        <v>38</v>
      </c>
    </row>
    <row r="25" spans="1:14">
      <c r="A25" s="2" t="s">
        <v>210</v>
      </c>
      <c r="B25" s="7">
        <v>19.13</v>
      </c>
      <c r="C25" s="2" t="s">
        <v>38</v>
      </c>
      <c r="D25" s="7">
        <v>17.35</v>
      </c>
      <c r="E25" s="7" t="s">
        <v>38</v>
      </c>
      <c r="F25" s="7">
        <f t="shared" si="9"/>
        <v>1.10259365994236</v>
      </c>
      <c r="G25" s="9" t="s">
        <v>38</v>
      </c>
      <c r="H25" s="9" t="s">
        <v>38</v>
      </c>
      <c r="I25" s="9" t="s">
        <v>38</v>
      </c>
      <c r="J25" s="7">
        <v>52</v>
      </c>
      <c r="K25" s="7">
        <v>120.2</v>
      </c>
      <c r="L25" s="9" t="s">
        <v>38</v>
      </c>
      <c r="M25" s="13">
        <v>-0.63</v>
      </c>
      <c r="N25" s="12" t="s">
        <v>38</v>
      </c>
    </row>
    <row r="26" spans="1:14">
      <c r="A26" s="2" t="s">
        <v>211</v>
      </c>
      <c r="B26" s="7">
        <v>18.14</v>
      </c>
      <c r="C26" s="7">
        <v>14.81</v>
      </c>
      <c r="D26" s="10">
        <v>20.99</v>
      </c>
      <c r="E26" s="7">
        <f t="shared" si="8"/>
        <v>1.22484807562458</v>
      </c>
      <c r="F26" s="7">
        <f t="shared" si="9"/>
        <v>0.864221057646498</v>
      </c>
      <c r="G26" s="9">
        <f t="shared" si="10"/>
        <v>56</v>
      </c>
      <c r="H26" s="9">
        <v>37</v>
      </c>
      <c r="I26" s="9">
        <v>19</v>
      </c>
      <c r="J26" s="7">
        <v>47.43</v>
      </c>
      <c r="K26" s="7">
        <v>107.78</v>
      </c>
      <c r="L26" s="9">
        <f>DEGREES(ACOS((J26^2+J27^2-K26^2)/(2*J26*J27)))</f>
        <v>148.467983487884</v>
      </c>
      <c r="M26" s="13" t="s">
        <v>38</v>
      </c>
      <c r="N26" s="12">
        <f>3.01/14.81</f>
        <v>0.203241053342336</v>
      </c>
    </row>
    <row r="27" spans="1:14">
      <c r="A27" s="2" t="s">
        <v>212</v>
      </c>
      <c r="B27" s="7">
        <v>23.61</v>
      </c>
      <c r="C27" s="7">
        <v>17.44</v>
      </c>
      <c r="D27" s="10">
        <v>20.34</v>
      </c>
      <c r="E27" s="7">
        <f t="shared" si="8"/>
        <v>1.35378440366972</v>
      </c>
      <c r="F27" s="7">
        <f t="shared" si="9"/>
        <v>1.16076696165192</v>
      </c>
      <c r="G27" s="9">
        <f t="shared" si="10"/>
        <v>47</v>
      </c>
      <c r="H27" s="9">
        <v>29</v>
      </c>
      <c r="I27" s="9">
        <v>18</v>
      </c>
      <c r="J27" s="7">
        <v>64.46</v>
      </c>
      <c r="K27" s="9" t="s">
        <v>38</v>
      </c>
      <c r="L27" s="9" t="s">
        <v>38</v>
      </c>
      <c r="M27" s="13">
        <v>-8.79</v>
      </c>
      <c r="N27" s="12">
        <f>4.45/17.44</f>
        <v>0.255160550458716</v>
      </c>
    </row>
    <row r="28" spans="1:14">
      <c r="A28" s="2" t="s">
        <v>108</v>
      </c>
      <c r="B28" s="7">
        <f t="shared" ref="B28:L28" si="11">AVERAGE(B13:B27)</f>
        <v>22.8007142857143</v>
      </c>
      <c r="C28" s="7">
        <f t="shared" si="11"/>
        <v>17.1944444444444</v>
      </c>
      <c r="D28" s="7">
        <f t="shared" si="11"/>
        <v>20.2664285714286</v>
      </c>
      <c r="E28" s="7">
        <f t="shared" si="11"/>
        <v>1.39759291380337</v>
      </c>
      <c r="F28" s="7">
        <f t="shared" si="11"/>
        <v>1.1036753051792</v>
      </c>
      <c r="G28" s="9">
        <f t="shared" si="11"/>
        <v>49.44</v>
      </c>
      <c r="H28" s="9">
        <f t="shared" si="11"/>
        <v>27.7955555555556</v>
      </c>
      <c r="I28" s="9">
        <f t="shared" si="11"/>
        <v>20.52125</v>
      </c>
      <c r="J28" s="7">
        <f t="shared" si="11"/>
        <v>60.3727272727273</v>
      </c>
      <c r="K28" s="7">
        <f t="shared" si="11"/>
        <v>120.414545454545</v>
      </c>
      <c r="L28" s="9">
        <f t="shared" si="11"/>
        <v>154.099947538939</v>
      </c>
      <c r="M28" s="13" t="s">
        <v>213</v>
      </c>
      <c r="N28" s="18">
        <f>AVERAGE(N13:N27)</f>
        <v>0.271611929835301</v>
      </c>
    </row>
    <row r="29" spans="1:14">
      <c r="A29" s="2"/>
      <c r="B29" s="11" t="s">
        <v>0</v>
      </c>
      <c r="C29" s="11" t="s">
        <v>2</v>
      </c>
      <c r="D29" s="2"/>
      <c r="E29" s="2"/>
      <c r="F29" s="2"/>
      <c r="G29" s="2"/>
      <c r="H29" s="2"/>
      <c r="I29" s="2"/>
      <c r="J29" s="2"/>
      <c r="K29" s="2"/>
      <c r="L29" s="2"/>
      <c r="M29" s="5" t="s">
        <v>4</v>
      </c>
      <c r="N29" s="2"/>
    </row>
    <row r="30" spans="1:14">
      <c r="A30" s="2" t="s">
        <v>214</v>
      </c>
      <c r="B30" s="8">
        <v>6.52</v>
      </c>
      <c r="C30" s="8">
        <v>5.13</v>
      </c>
      <c r="D30" s="2"/>
      <c r="E30" s="2"/>
      <c r="F30" s="2"/>
      <c r="G30" s="2"/>
      <c r="H30" s="2"/>
      <c r="I30" s="2"/>
      <c r="J30" s="2"/>
      <c r="K30" s="2"/>
      <c r="L30" s="2"/>
      <c r="M30" s="8">
        <f>B30/C30</f>
        <v>1.27095516569201</v>
      </c>
      <c r="N30" s="2"/>
    </row>
    <row r="31" spans="1:14">
      <c r="A31" s="2" t="s">
        <v>215</v>
      </c>
      <c r="B31" s="8">
        <v>7.04</v>
      </c>
      <c r="C31" s="8">
        <v>4.8</v>
      </c>
      <c r="D31" s="2"/>
      <c r="E31" s="2"/>
      <c r="F31" s="2"/>
      <c r="G31" s="2"/>
      <c r="H31" s="2"/>
      <c r="I31" s="2"/>
      <c r="J31" s="2"/>
      <c r="K31" s="2"/>
      <c r="L31" s="2"/>
      <c r="M31" s="8">
        <f>B31/C31</f>
        <v>1.46666666666667</v>
      </c>
      <c r="N31" s="2"/>
    </row>
    <row r="32" spans="1:14">
      <c r="A32" s="2" t="s">
        <v>108</v>
      </c>
      <c r="B32" s="8">
        <f>AVERAGE(B30:B31)</f>
        <v>6.78</v>
      </c>
      <c r="C32" s="8">
        <f>AVERAGE(C30:C31)</f>
        <v>4.965</v>
      </c>
      <c r="D32" s="2"/>
      <c r="E32" s="2"/>
      <c r="F32" s="2"/>
      <c r="G32" s="2"/>
      <c r="H32" s="2"/>
      <c r="I32" s="2"/>
      <c r="J32" s="2"/>
      <c r="K32" s="2"/>
      <c r="L32" s="2"/>
      <c r="M32" s="8">
        <f>AVERAGE(M30:M31)</f>
        <v>1.36881091617934</v>
      </c>
      <c r="N32" s="2"/>
    </row>
    <row r="33" spans="1:14">
      <c r="A33" s="2"/>
      <c r="B33" s="5"/>
      <c r="C33" s="5"/>
      <c r="D33" s="5"/>
      <c r="E33" s="5"/>
      <c r="F33" s="5"/>
      <c r="G33" s="6"/>
      <c r="H33" s="6"/>
      <c r="I33" s="6"/>
      <c r="J33" s="5"/>
      <c r="K33" s="5"/>
      <c r="L33" s="6"/>
      <c r="M33" s="6"/>
      <c r="N33" s="17"/>
    </row>
    <row r="34" spans="1:14">
      <c r="A34" s="2" t="s">
        <v>216</v>
      </c>
      <c r="B34" s="9" t="s">
        <v>38</v>
      </c>
      <c r="C34" s="9" t="s">
        <v>38</v>
      </c>
      <c r="D34" s="12" t="s">
        <v>38</v>
      </c>
      <c r="E34" s="9" t="s">
        <v>38</v>
      </c>
      <c r="F34" s="9" t="s">
        <v>38</v>
      </c>
      <c r="G34" s="9" t="s">
        <v>217</v>
      </c>
      <c r="H34" s="9" t="s">
        <v>38</v>
      </c>
      <c r="I34" s="9" t="s">
        <v>38</v>
      </c>
      <c r="J34" s="7">
        <v>57.4</v>
      </c>
      <c r="K34" s="7">
        <v>105.1</v>
      </c>
      <c r="L34" s="13">
        <f t="shared" ref="L34:L39" si="12">DEGREES(ACOS((J34^2+J35^2-K34^2)/(2*J34*J35)))</f>
        <v>147.724705179619</v>
      </c>
      <c r="M34" s="9" t="s">
        <v>38</v>
      </c>
      <c r="N34" s="12" t="s">
        <v>38</v>
      </c>
    </row>
    <row r="35" spans="1:14">
      <c r="A35" s="2" t="s">
        <v>218</v>
      </c>
      <c r="B35" s="7">
        <v>21.45</v>
      </c>
      <c r="C35" s="7">
        <v>16.13</v>
      </c>
      <c r="D35" s="10">
        <v>16.52</v>
      </c>
      <c r="E35" s="7">
        <f t="shared" ref="E35:E38" si="13">B35/C35</f>
        <v>1.32982021078735</v>
      </c>
      <c r="F35" s="7">
        <f>B35/D35</f>
        <v>1.29842615012107</v>
      </c>
      <c r="G35" s="9">
        <f>H35+I35</f>
        <v>64.91</v>
      </c>
      <c r="H35" s="9">
        <v>36.07</v>
      </c>
      <c r="I35" s="9">
        <v>28.84</v>
      </c>
      <c r="J35" s="7">
        <v>52</v>
      </c>
      <c r="K35" s="7">
        <v>106.8</v>
      </c>
      <c r="L35" s="13">
        <f t="shared" si="12"/>
        <v>143.570178062565</v>
      </c>
      <c r="M35" s="13">
        <v>16.41</v>
      </c>
      <c r="N35" s="12">
        <f>8.75/16.13</f>
        <v>0.542467451952883</v>
      </c>
    </row>
    <row r="36" spans="1:14">
      <c r="A36" s="2" t="s">
        <v>219</v>
      </c>
      <c r="B36" s="7">
        <v>18.1</v>
      </c>
      <c r="C36" s="7">
        <v>14.44</v>
      </c>
      <c r="D36" s="12" t="s">
        <v>38</v>
      </c>
      <c r="E36" s="7">
        <f t="shared" si="13"/>
        <v>1.25346260387812</v>
      </c>
      <c r="F36" s="9" t="s">
        <v>38</v>
      </c>
      <c r="G36" s="9" t="s">
        <v>38</v>
      </c>
      <c r="H36" s="9" t="s">
        <v>38</v>
      </c>
      <c r="I36" s="9" t="s">
        <v>38</v>
      </c>
      <c r="J36" s="7">
        <v>60.4</v>
      </c>
      <c r="K36" s="7">
        <v>96.8</v>
      </c>
      <c r="L36" s="13">
        <f t="shared" si="12"/>
        <v>141.272704029176</v>
      </c>
      <c r="M36" s="13">
        <v>-9.86</v>
      </c>
      <c r="N36" s="12" t="s">
        <v>38</v>
      </c>
    </row>
    <row r="37" spans="1:14">
      <c r="A37" s="2" t="s">
        <v>220</v>
      </c>
      <c r="B37" s="7">
        <v>21.01</v>
      </c>
      <c r="C37" s="7">
        <v>18.57</v>
      </c>
      <c r="D37" s="12" t="s">
        <v>38</v>
      </c>
      <c r="E37" s="7">
        <f t="shared" si="13"/>
        <v>1.13139472267097</v>
      </c>
      <c r="F37" s="9" t="s">
        <v>38</v>
      </c>
      <c r="G37" s="9" t="s">
        <v>38</v>
      </c>
      <c r="H37" s="9" t="s">
        <v>38</v>
      </c>
      <c r="I37" s="9" t="s">
        <v>38</v>
      </c>
      <c r="J37" s="7">
        <v>42</v>
      </c>
      <c r="K37" s="7">
        <v>82.9</v>
      </c>
      <c r="L37" s="13">
        <f t="shared" si="12"/>
        <v>124.352864842722</v>
      </c>
      <c r="M37" s="13">
        <v>3</v>
      </c>
      <c r="N37" s="12" t="s">
        <v>38</v>
      </c>
    </row>
    <row r="38" spans="1:14">
      <c r="A38" s="2" t="s">
        <v>221</v>
      </c>
      <c r="B38" s="7">
        <v>17.27</v>
      </c>
      <c r="C38" s="7">
        <v>14.16</v>
      </c>
      <c r="D38" s="12" t="s">
        <v>38</v>
      </c>
      <c r="E38" s="7">
        <f t="shared" si="13"/>
        <v>1.21963276836158</v>
      </c>
      <c r="F38" s="9" t="s">
        <v>38</v>
      </c>
      <c r="G38" s="9" t="s">
        <v>38</v>
      </c>
      <c r="H38" s="9" t="s">
        <v>38</v>
      </c>
      <c r="I38" s="9">
        <v>24.22</v>
      </c>
      <c r="J38" s="7">
        <v>51.6</v>
      </c>
      <c r="K38" s="7">
        <v>95.1</v>
      </c>
      <c r="L38" s="13">
        <f t="shared" si="12"/>
        <v>125.404639291322</v>
      </c>
      <c r="M38" s="13">
        <v>-1.2</v>
      </c>
      <c r="N38" s="12" t="s">
        <v>38</v>
      </c>
    </row>
    <row r="39" spans="1:14">
      <c r="A39" s="2" t="s">
        <v>222</v>
      </c>
      <c r="B39" s="7">
        <v>16.56</v>
      </c>
      <c r="C39" s="13" t="s">
        <v>38</v>
      </c>
      <c r="D39" s="12" t="s">
        <v>38</v>
      </c>
      <c r="E39" s="9" t="s">
        <v>38</v>
      </c>
      <c r="F39" s="9" t="s">
        <v>38</v>
      </c>
      <c r="G39" s="9" t="s">
        <v>38</v>
      </c>
      <c r="H39" s="9" t="s">
        <v>38</v>
      </c>
      <c r="I39" s="9" t="s">
        <v>38</v>
      </c>
      <c r="J39" s="7">
        <v>55.4</v>
      </c>
      <c r="K39" s="7">
        <v>108.9</v>
      </c>
      <c r="L39" s="13">
        <f t="shared" si="12"/>
        <v>159.882542189876</v>
      </c>
      <c r="M39" s="13" t="s">
        <v>38</v>
      </c>
      <c r="N39" s="12" t="s">
        <v>38</v>
      </c>
    </row>
    <row r="40" spans="1:14">
      <c r="A40" s="2" t="s">
        <v>223</v>
      </c>
      <c r="B40" s="7">
        <v>19.39</v>
      </c>
      <c r="C40" s="7">
        <v>13.97</v>
      </c>
      <c r="D40" s="10">
        <v>15.81</v>
      </c>
      <c r="E40" s="7">
        <f t="shared" ref="E40:E43" si="14">B40/C40</f>
        <v>1.38797423049392</v>
      </c>
      <c r="F40" s="7">
        <f>B40/D40</f>
        <v>1.22643896268185</v>
      </c>
      <c r="G40" s="9">
        <f>H40+I40</f>
        <v>57.85</v>
      </c>
      <c r="H40" s="9">
        <v>39.9</v>
      </c>
      <c r="I40" s="9">
        <v>17.95</v>
      </c>
      <c r="J40" s="7">
        <v>55.2</v>
      </c>
      <c r="K40" s="7">
        <v>105.8</v>
      </c>
      <c r="L40" s="13">
        <v>160.04</v>
      </c>
      <c r="M40" s="13">
        <v>-13.57</v>
      </c>
      <c r="N40" s="12">
        <f>6.19/13.97</f>
        <v>0.443092340730136</v>
      </c>
    </row>
    <row r="41" spans="1:14">
      <c r="A41" s="2" t="s">
        <v>224</v>
      </c>
      <c r="B41" s="7">
        <v>27.66</v>
      </c>
      <c r="C41" s="7">
        <v>22.07</v>
      </c>
      <c r="D41" s="12" t="s">
        <v>38</v>
      </c>
      <c r="E41" s="7">
        <f t="shared" si="14"/>
        <v>1.25328500226552</v>
      </c>
      <c r="F41" s="9" t="s">
        <v>38</v>
      </c>
      <c r="G41" s="9" t="s">
        <v>38</v>
      </c>
      <c r="H41" s="9" t="s">
        <v>38</v>
      </c>
      <c r="I41" s="9" t="s">
        <v>38</v>
      </c>
      <c r="J41" s="7">
        <v>50</v>
      </c>
      <c r="K41" s="7">
        <v>109.8</v>
      </c>
      <c r="L41" s="13">
        <f>DEGREES(ACOS((J41^2+J42^2-K41^2)/(2*J41*J42)))</f>
        <v>152.47778635812</v>
      </c>
      <c r="M41" s="13">
        <v>18.85</v>
      </c>
      <c r="N41" s="12" t="s">
        <v>38</v>
      </c>
    </row>
    <row r="42" spans="1:14">
      <c r="A42" s="2" t="s">
        <v>225</v>
      </c>
      <c r="B42" s="7">
        <v>23.01</v>
      </c>
      <c r="C42" s="7">
        <v>17.85</v>
      </c>
      <c r="D42" s="12" t="s">
        <v>38</v>
      </c>
      <c r="E42" s="7">
        <f t="shared" si="14"/>
        <v>1.2890756302521</v>
      </c>
      <c r="F42" s="9" t="s">
        <v>38</v>
      </c>
      <c r="G42" s="9" t="s">
        <v>38</v>
      </c>
      <c r="H42" s="9" t="s">
        <v>38</v>
      </c>
      <c r="I42" s="9" t="s">
        <v>38</v>
      </c>
      <c r="J42" s="7">
        <v>63</v>
      </c>
      <c r="K42" s="7" t="s">
        <v>38</v>
      </c>
      <c r="L42" s="13" t="s">
        <v>38</v>
      </c>
      <c r="M42" s="13" t="s">
        <v>38</v>
      </c>
      <c r="N42" s="12" t="s">
        <v>38</v>
      </c>
    </row>
    <row r="43" spans="1:14">
      <c r="A43" s="2" t="s">
        <v>226</v>
      </c>
      <c r="B43" s="7">
        <v>22.45</v>
      </c>
      <c r="C43" s="7">
        <v>15.8</v>
      </c>
      <c r="D43" s="12" t="s">
        <v>38</v>
      </c>
      <c r="E43" s="7">
        <f t="shared" si="14"/>
        <v>1.42088607594937</v>
      </c>
      <c r="F43" s="9" t="s">
        <v>38</v>
      </c>
      <c r="G43" s="9" t="s">
        <v>38</v>
      </c>
      <c r="H43" s="9" t="s">
        <v>38</v>
      </c>
      <c r="I43" s="9" t="s">
        <v>38</v>
      </c>
      <c r="J43" s="7" t="s">
        <v>38</v>
      </c>
      <c r="K43" s="7" t="s">
        <v>38</v>
      </c>
      <c r="L43" s="13" t="s">
        <v>38</v>
      </c>
      <c r="M43" s="13" t="s">
        <v>38</v>
      </c>
      <c r="N43" s="12" t="s">
        <v>38</v>
      </c>
    </row>
    <row r="44" spans="1:14">
      <c r="A44" s="2" t="s">
        <v>108</v>
      </c>
      <c r="B44" s="7">
        <f t="shared" ref="B44:L44" si="15">AVERAGE(B34:B43)</f>
        <v>20.7666666666667</v>
      </c>
      <c r="C44" s="7">
        <f t="shared" si="15"/>
        <v>16.62375</v>
      </c>
      <c r="D44" s="7">
        <f t="shared" si="15"/>
        <v>16.165</v>
      </c>
      <c r="E44" s="7">
        <f t="shared" si="15"/>
        <v>1.28569140558237</v>
      </c>
      <c r="F44" s="7">
        <f t="shared" si="15"/>
        <v>1.26243255640146</v>
      </c>
      <c r="G44" s="9">
        <f t="shared" si="15"/>
        <v>61.38</v>
      </c>
      <c r="H44" s="9">
        <f t="shared" si="15"/>
        <v>37.985</v>
      </c>
      <c r="I44" s="9">
        <f t="shared" si="15"/>
        <v>23.67</v>
      </c>
      <c r="J44" s="7">
        <f t="shared" si="15"/>
        <v>54.1111111111111</v>
      </c>
      <c r="K44" s="7">
        <f t="shared" si="15"/>
        <v>101.4</v>
      </c>
      <c r="L44" s="13">
        <f t="shared" si="15"/>
        <v>144.340677494175</v>
      </c>
      <c r="M44" s="9" t="s">
        <v>122</v>
      </c>
      <c r="N44" s="18">
        <f>AVERAGE(N34:N43)</f>
        <v>0.492779896341509</v>
      </c>
    </row>
    <row r="45" spans="1:14">
      <c r="A45" s="2"/>
      <c r="B45" s="7"/>
      <c r="C45" s="7"/>
      <c r="D45" s="2"/>
      <c r="E45" s="7"/>
      <c r="F45" s="7"/>
      <c r="G45" s="9"/>
      <c r="H45" s="9"/>
      <c r="I45" s="9"/>
      <c r="J45" s="7"/>
      <c r="K45" s="7"/>
      <c r="L45" s="12"/>
      <c r="M45" s="13"/>
      <c r="N45" s="12"/>
    </row>
    <row r="46" spans="1:14">
      <c r="A46" s="2" t="s">
        <v>227</v>
      </c>
      <c r="B46" s="7">
        <v>17.49</v>
      </c>
      <c r="C46" s="7">
        <v>12.19</v>
      </c>
      <c r="D46" s="10">
        <v>17.67</v>
      </c>
      <c r="E46" s="7">
        <f t="shared" ref="E46:E50" si="16">B46/C46</f>
        <v>1.43478260869565</v>
      </c>
      <c r="F46" s="7">
        <f>B46/D46</f>
        <v>0.98981324278438</v>
      </c>
      <c r="G46" s="9" t="s">
        <v>38</v>
      </c>
      <c r="H46" s="9">
        <v>20.4</v>
      </c>
      <c r="I46" s="9">
        <v>20.82</v>
      </c>
      <c r="J46" s="7" t="s">
        <v>38</v>
      </c>
      <c r="K46" s="7">
        <v>154.42</v>
      </c>
      <c r="L46" s="9" t="s">
        <v>38</v>
      </c>
      <c r="M46" s="13">
        <v>5.56</v>
      </c>
      <c r="N46" s="12" t="s">
        <v>38</v>
      </c>
    </row>
    <row r="47" spans="1:14">
      <c r="A47" s="2" t="s">
        <v>228</v>
      </c>
      <c r="B47" s="7">
        <v>20.98</v>
      </c>
      <c r="C47" s="7">
        <v>12.34</v>
      </c>
      <c r="D47" s="10">
        <v>17.86</v>
      </c>
      <c r="E47" s="7">
        <f t="shared" si="16"/>
        <v>1.7001620745543</v>
      </c>
      <c r="F47" s="7">
        <f>B47/D47</f>
        <v>1.17469204927212</v>
      </c>
      <c r="G47" s="9">
        <f>H47+I47</f>
        <v>39.87</v>
      </c>
      <c r="H47" s="9">
        <v>21.67</v>
      </c>
      <c r="I47" s="9">
        <v>18.2</v>
      </c>
      <c r="J47" s="7" t="s">
        <v>38</v>
      </c>
      <c r="K47" s="7">
        <v>108.96</v>
      </c>
      <c r="L47" s="9" t="s">
        <v>38</v>
      </c>
      <c r="M47" s="13">
        <v>5.69</v>
      </c>
      <c r="N47" s="12">
        <f>4.35/12.34</f>
        <v>0.352512155591572</v>
      </c>
    </row>
    <row r="48" spans="1:14">
      <c r="A48" s="2" t="s">
        <v>229</v>
      </c>
      <c r="B48" s="7">
        <v>20.61</v>
      </c>
      <c r="C48" s="7">
        <v>21.23</v>
      </c>
      <c r="D48" s="12" t="s">
        <v>38</v>
      </c>
      <c r="E48" s="7">
        <f t="shared" si="16"/>
        <v>0.970796043334903</v>
      </c>
      <c r="F48" s="9" t="s">
        <v>38</v>
      </c>
      <c r="G48" s="9" t="s">
        <v>38</v>
      </c>
      <c r="H48" s="9" t="s">
        <v>38</v>
      </c>
      <c r="I48" s="9" t="s">
        <v>38</v>
      </c>
      <c r="J48" s="7">
        <v>61.09</v>
      </c>
      <c r="K48" s="7" t="s">
        <v>38</v>
      </c>
      <c r="L48" s="9" t="s">
        <v>38</v>
      </c>
      <c r="M48" s="13">
        <v>1.98</v>
      </c>
      <c r="N48" s="12" t="s">
        <v>38</v>
      </c>
    </row>
    <row r="49" spans="1:14">
      <c r="A49" s="2" t="s">
        <v>230</v>
      </c>
      <c r="B49" s="7">
        <v>21.63</v>
      </c>
      <c r="C49" s="7">
        <v>15.57</v>
      </c>
      <c r="D49" s="12" t="s">
        <v>38</v>
      </c>
      <c r="E49" s="7">
        <f t="shared" si="16"/>
        <v>1.38921001926782</v>
      </c>
      <c r="F49" s="9" t="s">
        <v>38</v>
      </c>
      <c r="G49" s="9" t="s">
        <v>38</v>
      </c>
      <c r="H49" s="9" t="s">
        <v>38</v>
      </c>
      <c r="I49" s="9">
        <v>16.28</v>
      </c>
      <c r="J49" s="7" t="s">
        <v>38</v>
      </c>
      <c r="K49" s="7">
        <v>110.97</v>
      </c>
      <c r="L49" s="9" t="s">
        <v>38</v>
      </c>
      <c r="M49" s="13">
        <v>7.42</v>
      </c>
      <c r="N49" s="12" t="s">
        <v>38</v>
      </c>
    </row>
    <row r="50" spans="1:14">
      <c r="A50" s="2" t="s">
        <v>231</v>
      </c>
      <c r="B50" s="7">
        <v>27.87</v>
      </c>
      <c r="C50" s="7">
        <v>21.45</v>
      </c>
      <c r="D50" s="12" t="s">
        <v>38</v>
      </c>
      <c r="E50" s="7">
        <f t="shared" si="16"/>
        <v>1.2993006993007</v>
      </c>
      <c r="F50" s="9" t="s">
        <v>38</v>
      </c>
      <c r="G50" s="9" t="s">
        <v>38</v>
      </c>
      <c r="H50" s="9" t="s">
        <v>38</v>
      </c>
      <c r="I50" s="9" t="s">
        <v>38</v>
      </c>
      <c r="J50" s="7" t="s">
        <v>38</v>
      </c>
      <c r="K50" s="7" t="s">
        <v>38</v>
      </c>
      <c r="L50" s="9" t="s">
        <v>38</v>
      </c>
      <c r="M50" s="13" t="s">
        <v>38</v>
      </c>
      <c r="N50" s="12" t="s">
        <v>38</v>
      </c>
    </row>
    <row r="51" spans="1:14">
      <c r="A51" s="2" t="s">
        <v>232</v>
      </c>
      <c r="B51" s="7" t="s">
        <v>38</v>
      </c>
      <c r="C51" s="7">
        <v>24.68</v>
      </c>
      <c r="D51" s="12" t="s">
        <v>38</v>
      </c>
      <c r="E51" s="7" t="s">
        <v>38</v>
      </c>
      <c r="F51" s="9" t="s">
        <v>38</v>
      </c>
      <c r="G51" s="9" t="s">
        <v>38</v>
      </c>
      <c r="H51" s="9" t="s">
        <v>38</v>
      </c>
      <c r="I51" s="9" t="s">
        <v>38</v>
      </c>
      <c r="J51" s="7">
        <v>97.04</v>
      </c>
      <c r="K51" s="7">
        <v>157.1</v>
      </c>
      <c r="L51" s="9">
        <v>158.58</v>
      </c>
      <c r="M51" s="13" t="s">
        <v>38</v>
      </c>
      <c r="N51" s="12" t="s">
        <v>38</v>
      </c>
    </row>
    <row r="52" spans="1:14">
      <c r="A52" s="2" t="s">
        <v>233</v>
      </c>
      <c r="B52" s="7">
        <v>26.84</v>
      </c>
      <c r="C52" s="7">
        <v>17.76</v>
      </c>
      <c r="D52" s="10">
        <v>24.17</v>
      </c>
      <c r="E52" s="7">
        <f t="shared" ref="E52:E54" si="17">B52/C52</f>
        <v>1.51126126126126</v>
      </c>
      <c r="F52" s="7">
        <f>B52/D52</f>
        <v>1.11046752172114</v>
      </c>
      <c r="G52" s="9" t="s">
        <v>38</v>
      </c>
      <c r="H52" s="9" t="s">
        <v>38</v>
      </c>
      <c r="I52" s="9" t="s">
        <v>38</v>
      </c>
      <c r="J52" s="7">
        <v>59.2</v>
      </c>
      <c r="K52" s="7">
        <v>122.5</v>
      </c>
      <c r="L52" s="9">
        <f t="shared" ref="L52:L57" si="18">DEGREES(ACOS((J52^2+J53^2-K52^2)/(2*J52*J53)))</f>
        <v>154.853194492387</v>
      </c>
      <c r="M52" s="13">
        <v>10.31</v>
      </c>
      <c r="N52" s="12">
        <f>4.52/17.76</f>
        <v>0.254504504504504</v>
      </c>
    </row>
    <row r="53" spans="1:14">
      <c r="A53" s="2" t="s">
        <v>234</v>
      </c>
      <c r="B53" s="7">
        <v>22.48</v>
      </c>
      <c r="C53" s="7">
        <v>15.6</v>
      </c>
      <c r="D53" s="12" t="s">
        <v>38</v>
      </c>
      <c r="E53" s="7">
        <f t="shared" si="17"/>
        <v>1.44102564102564</v>
      </c>
      <c r="F53" s="9" t="s">
        <v>38</v>
      </c>
      <c r="G53" s="9" t="s">
        <v>38</v>
      </c>
      <c r="H53" s="9" t="s">
        <v>38</v>
      </c>
      <c r="I53" s="9" t="s">
        <v>38</v>
      </c>
      <c r="J53" s="7">
        <v>66.3</v>
      </c>
      <c r="K53" s="7">
        <v>123.6</v>
      </c>
      <c r="L53" s="9">
        <f t="shared" si="18"/>
        <v>138.211417171375</v>
      </c>
      <c r="M53" s="13">
        <v>-31.2</v>
      </c>
      <c r="N53" s="12" t="s">
        <v>38</v>
      </c>
    </row>
    <row r="54" spans="1:14">
      <c r="A54" s="2" t="s">
        <v>235</v>
      </c>
      <c r="B54" s="7">
        <v>21.08</v>
      </c>
      <c r="C54" s="7">
        <v>15.18</v>
      </c>
      <c r="D54" s="12" t="s">
        <v>38</v>
      </c>
      <c r="E54" s="7">
        <f t="shared" si="17"/>
        <v>1.38866930171278</v>
      </c>
      <c r="F54" s="9" t="s">
        <v>38</v>
      </c>
      <c r="G54" s="9" t="s">
        <v>38</v>
      </c>
      <c r="H54" s="9" t="s">
        <v>38</v>
      </c>
      <c r="I54" s="9" t="s">
        <v>38</v>
      </c>
      <c r="J54" s="7">
        <v>66</v>
      </c>
      <c r="K54" s="7">
        <v>122.7</v>
      </c>
      <c r="L54" s="9">
        <f t="shared" si="18"/>
        <v>134.604079981591</v>
      </c>
      <c r="M54" s="13">
        <v>14.52</v>
      </c>
      <c r="N54" s="12" t="s">
        <v>38</v>
      </c>
    </row>
    <row r="55" spans="1:14">
      <c r="A55" s="2" t="s">
        <v>236</v>
      </c>
      <c r="B55" s="7" t="s">
        <v>38</v>
      </c>
      <c r="C55" s="7" t="s">
        <v>38</v>
      </c>
      <c r="D55" s="12" t="s">
        <v>38</v>
      </c>
      <c r="E55" s="7" t="s">
        <v>38</v>
      </c>
      <c r="F55" s="9" t="s">
        <v>38</v>
      </c>
      <c r="G55" s="9" t="s">
        <v>38</v>
      </c>
      <c r="H55" s="9" t="s">
        <v>38</v>
      </c>
      <c r="I55" s="9" t="s">
        <v>38</v>
      </c>
      <c r="J55" s="7">
        <v>67</v>
      </c>
      <c r="K55" s="7">
        <v>114</v>
      </c>
      <c r="L55" s="9">
        <f t="shared" si="18"/>
        <v>144.8301856495</v>
      </c>
      <c r="M55" s="13" t="s">
        <v>38</v>
      </c>
      <c r="N55" s="12" t="s">
        <v>38</v>
      </c>
    </row>
    <row r="56" spans="1:14">
      <c r="A56" s="2" t="s">
        <v>237</v>
      </c>
      <c r="B56" s="7">
        <v>16.79</v>
      </c>
      <c r="C56" s="7">
        <v>18.27</v>
      </c>
      <c r="D56" s="12" t="s">
        <v>38</v>
      </c>
      <c r="E56" s="7">
        <f t="shared" ref="E56:E59" si="19">B56/C56</f>
        <v>0.918992884510126</v>
      </c>
      <c r="F56" s="9" t="s">
        <v>38</v>
      </c>
      <c r="G56" s="9" t="s">
        <v>38</v>
      </c>
      <c r="H56" s="9" t="s">
        <v>38</v>
      </c>
      <c r="I56" s="9" t="s">
        <v>38</v>
      </c>
      <c r="J56" s="7">
        <v>52.5</v>
      </c>
      <c r="K56" s="7">
        <v>104.4</v>
      </c>
      <c r="L56" s="9">
        <f t="shared" si="18"/>
        <v>151.133405187242</v>
      </c>
      <c r="M56" s="13">
        <v>11.97</v>
      </c>
      <c r="N56" s="12" t="s">
        <v>38</v>
      </c>
    </row>
    <row r="57" spans="1:14">
      <c r="A57" s="2" t="s">
        <v>238</v>
      </c>
      <c r="B57" s="7">
        <v>23.89</v>
      </c>
      <c r="C57" s="7">
        <v>17</v>
      </c>
      <c r="D57" s="12" t="s">
        <v>38</v>
      </c>
      <c r="E57" s="7">
        <f t="shared" si="19"/>
        <v>1.40529411764706</v>
      </c>
      <c r="F57" s="9" t="s">
        <v>38</v>
      </c>
      <c r="G57" s="9" t="s">
        <v>38</v>
      </c>
      <c r="H57" s="9" t="s">
        <v>38</v>
      </c>
      <c r="I57" s="9" t="s">
        <v>38</v>
      </c>
      <c r="J57" s="7">
        <v>55.3</v>
      </c>
      <c r="K57" s="7">
        <v>107.8</v>
      </c>
      <c r="L57" s="9">
        <f t="shared" si="18"/>
        <v>142.016069534047</v>
      </c>
      <c r="M57" s="13">
        <v>-19.25</v>
      </c>
      <c r="N57" s="12" t="s">
        <v>38</v>
      </c>
    </row>
    <row r="58" spans="1:14">
      <c r="A58" s="2" t="s">
        <v>239</v>
      </c>
      <c r="B58" s="7">
        <v>21.57</v>
      </c>
      <c r="C58" s="7">
        <v>15.39</v>
      </c>
      <c r="D58" s="12" t="s">
        <v>38</v>
      </c>
      <c r="E58" s="7">
        <f t="shared" si="19"/>
        <v>1.40155945419103</v>
      </c>
      <c r="F58" s="9" t="s">
        <v>38</v>
      </c>
      <c r="G58" s="9" t="s">
        <v>38</v>
      </c>
      <c r="H58" s="9" t="s">
        <v>38</v>
      </c>
      <c r="I58" s="9" t="s">
        <v>38</v>
      </c>
      <c r="J58" s="7">
        <v>58.7</v>
      </c>
      <c r="K58" s="7" t="s">
        <v>38</v>
      </c>
      <c r="L58" s="9" t="s">
        <v>38</v>
      </c>
      <c r="M58" s="13" t="s">
        <v>38</v>
      </c>
      <c r="N58" s="12" t="s">
        <v>38</v>
      </c>
    </row>
    <row r="59" spans="1:14">
      <c r="A59" s="2" t="s">
        <v>240</v>
      </c>
      <c r="B59" s="7">
        <v>21.05</v>
      </c>
      <c r="C59" s="7">
        <v>16.61</v>
      </c>
      <c r="D59" s="10">
        <v>19.58</v>
      </c>
      <c r="E59" s="7">
        <f t="shared" si="19"/>
        <v>1.26730885009031</v>
      </c>
      <c r="F59" s="7">
        <f>B59/D59</f>
        <v>1.07507660878447</v>
      </c>
      <c r="G59" s="9">
        <v>53</v>
      </c>
      <c r="H59" s="9">
        <v>24</v>
      </c>
      <c r="I59" s="9">
        <f>G59-H59</f>
        <v>29</v>
      </c>
      <c r="J59" s="7" t="s">
        <v>38</v>
      </c>
      <c r="K59" s="7" t="s">
        <v>38</v>
      </c>
      <c r="L59" s="9" t="s">
        <v>38</v>
      </c>
      <c r="M59" s="13" t="s">
        <v>38</v>
      </c>
      <c r="N59" s="12">
        <f>4.04/16.61</f>
        <v>0.243226971703793</v>
      </c>
    </row>
    <row r="60" spans="1:14">
      <c r="A60" s="2" t="s">
        <v>108</v>
      </c>
      <c r="B60" s="7">
        <f t="shared" ref="B60:L60" si="20">AVERAGE(B46:B59)</f>
        <v>21.8566666666667</v>
      </c>
      <c r="C60" s="7">
        <f t="shared" si="20"/>
        <v>17.1746153846154</v>
      </c>
      <c r="D60" s="7">
        <f t="shared" si="20"/>
        <v>19.82</v>
      </c>
      <c r="E60" s="7">
        <f t="shared" si="20"/>
        <v>1.3440302462993</v>
      </c>
      <c r="F60" s="7">
        <f t="shared" si="20"/>
        <v>1.08751235564053</v>
      </c>
      <c r="G60" s="9">
        <f t="shared" si="20"/>
        <v>46.435</v>
      </c>
      <c r="H60" s="9">
        <f t="shared" si="20"/>
        <v>22.0233333333333</v>
      </c>
      <c r="I60" s="9">
        <f t="shared" si="20"/>
        <v>21.075</v>
      </c>
      <c r="J60" s="7">
        <f t="shared" si="20"/>
        <v>64.7922222222222</v>
      </c>
      <c r="K60" s="7">
        <f t="shared" si="20"/>
        <v>122.645</v>
      </c>
      <c r="L60" s="9">
        <f t="shared" si="20"/>
        <v>146.318336002306</v>
      </c>
      <c r="M60" s="9" t="s">
        <v>241</v>
      </c>
      <c r="N60" s="18">
        <f>AVERAGE(N46:N59)</f>
        <v>0.28341454393329</v>
      </c>
    </row>
    <row r="62" s="1" customFormat="1" spans="1:14">
      <c r="A62" s="1" t="s">
        <v>32</v>
      </c>
      <c r="B62" s="14"/>
      <c r="C62" s="14"/>
      <c r="D62" s="14"/>
      <c r="E62" s="14"/>
      <c r="F62" s="14"/>
      <c r="G62" s="15"/>
      <c r="H62" s="15"/>
      <c r="I62" s="15"/>
      <c r="J62" s="14"/>
      <c r="K62" s="14"/>
      <c r="L62" s="15"/>
      <c r="M62" s="15"/>
      <c r="N62" s="19"/>
    </row>
    <row r="63" spans="2:14">
      <c r="B63" s="5" t="s">
        <v>0</v>
      </c>
      <c r="C63" s="5" t="s">
        <v>2</v>
      </c>
      <c r="D63" s="5" t="s">
        <v>143</v>
      </c>
      <c r="E63" s="5" t="s">
        <v>4</v>
      </c>
      <c r="F63" s="5" t="s">
        <v>144</v>
      </c>
      <c r="G63" s="6" t="s">
        <v>14</v>
      </c>
      <c r="H63" s="6" t="s">
        <v>10</v>
      </c>
      <c r="I63" s="6" t="s">
        <v>12</v>
      </c>
      <c r="J63" s="5" t="s">
        <v>18</v>
      </c>
      <c r="K63" s="5" t="s">
        <v>20</v>
      </c>
      <c r="L63" s="6" t="s">
        <v>22</v>
      </c>
      <c r="M63" s="6" t="s">
        <v>16</v>
      </c>
      <c r="N63" s="17" t="s">
        <v>6</v>
      </c>
    </row>
    <row r="64" spans="1:14">
      <c r="A64" s="2" t="s">
        <v>242</v>
      </c>
      <c r="B64" s="7" t="s">
        <v>38</v>
      </c>
      <c r="C64" s="7">
        <v>19.1</v>
      </c>
      <c r="D64" s="8">
        <v>32.97</v>
      </c>
      <c r="E64" s="7" t="s">
        <v>38</v>
      </c>
      <c r="F64" s="16" t="s">
        <v>38</v>
      </c>
      <c r="G64" s="9" t="s">
        <v>38</v>
      </c>
      <c r="H64" s="9" t="s">
        <v>38</v>
      </c>
      <c r="I64" s="9" t="s">
        <v>38</v>
      </c>
      <c r="J64" s="8">
        <v>87</v>
      </c>
      <c r="K64" s="7" t="s">
        <v>38</v>
      </c>
      <c r="L64" s="9" t="s">
        <v>38</v>
      </c>
      <c r="M64" s="4" t="s">
        <v>38</v>
      </c>
      <c r="N64" s="12" t="s">
        <v>38</v>
      </c>
    </row>
    <row r="65" spans="1:14">
      <c r="A65" s="2" t="s">
        <v>243</v>
      </c>
      <c r="B65" s="7">
        <v>27.5</v>
      </c>
      <c r="C65" s="7">
        <v>22.2</v>
      </c>
      <c r="D65" s="8">
        <v>30.65</v>
      </c>
      <c r="E65" s="7">
        <f t="shared" ref="E65:E69" si="21">B65/C65</f>
        <v>1.23873873873874</v>
      </c>
      <c r="F65" s="16">
        <f t="shared" ref="F65:F69" si="22">B65/D65</f>
        <v>0.897226753670473</v>
      </c>
      <c r="G65" s="9">
        <v>59</v>
      </c>
      <c r="H65" s="9">
        <v>30</v>
      </c>
      <c r="I65" s="4">
        <f t="shared" ref="I65:I69" si="23">G65-H65</f>
        <v>29</v>
      </c>
      <c r="J65" s="8" t="s">
        <v>38</v>
      </c>
      <c r="K65" s="7" t="s">
        <v>38</v>
      </c>
      <c r="L65" s="9" t="s">
        <v>38</v>
      </c>
      <c r="M65" s="4" t="s">
        <v>38</v>
      </c>
      <c r="N65" s="12">
        <f>7.39/22.17</f>
        <v>0.333333333333333</v>
      </c>
    </row>
    <row r="66" spans="1:14">
      <c r="A66" s="2" t="s">
        <v>108</v>
      </c>
      <c r="B66" s="7">
        <f>AVERAGE(B65)</f>
        <v>27.5</v>
      </c>
      <c r="C66" s="7">
        <f t="shared" ref="C66:I66" si="24">AVERAGE(C64,C65)</f>
        <v>20.65</v>
      </c>
      <c r="D66" s="16">
        <f>AVERAGE(D65,D64)</f>
        <v>31.81</v>
      </c>
      <c r="E66" s="20">
        <f t="shared" si="24"/>
        <v>1.23873873873874</v>
      </c>
      <c r="F66" s="20">
        <f t="shared" si="24"/>
        <v>0.897226753670473</v>
      </c>
      <c r="G66" s="21">
        <f t="shared" si="24"/>
        <v>59</v>
      </c>
      <c r="H66" s="21">
        <f t="shared" si="24"/>
        <v>30</v>
      </c>
      <c r="I66" s="21">
        <f t="shared" si="24"/>
        <v>29</v>
      </c>
      <c r="J66" s="16">
        <f>AVERAGE(J64)</f>
        <v>87</v>
      </c>
      <c r="K66" s="20" t="s">
        <v>38</v>
      </c>
      <c r="L66" s="21" t="s">
        <v>38</v>
      </c>
      <c r="M66" s="4" t="s">
        <v>38</v>
      </c>
      <c r="N66" s="28">
        <f>AVERAGE(N65)</f>
        <v>0.333333333333333</v>
      </c>
    </row>
    <row r="67" spans="1:14">
      <c r="A67" s="2"/>
      <c r="B67" s="7"/>
      <c r="C67" s="7"/>
      <c r="D67" s="16"/>
      <c r="E67" s="20"/>
      <c r="F67" s="16"/>
      <c r="G67" s="9"/>
      <c r="H67" s="21"/>
      <c r="I67" s="4"/>
      <c r="J67" s="16"/>
      <c r="K67" s="20"/>
      <c r="L67" s="21"/>
      <c r="M67" s="4"/>
      <c r="N67" s="28"/>
    </row>
    <row r="68" spans="1:14">
      <c r="A68" s="2" t="s">
        <v>244</v>
      </c>
      <c r="B68" s="7">
        <v>30.6</v>
      </c>
      <c r="C68" s="7">
        <v>24.2</v>
      </c>
      <c r="D68" s="8">
        <v>32.93</v>
      </c>
      <c r="E68" s="7">
        <f t="shared" si="21"/>
        <v>1.26446280991736</v>
      </c>
      <c r="F68" s="16">
        <f t="shared" si="22"/>
        <v>0.929243850592165</v>
      </c>
      <c r="G68" s="9">
        <v>49</v>
      </c>
      <c r="H68" s="9">
        <v>33</v>
      </c>
      <c r="I68" s="4">
        <f t="shared" si="23"/>
        <v>16</v>
      </c>
      <c r="J68" s="8">
        <v>141</v>
      </c>
      <c r="K68" s="7" t="s">
        <v>38</v>
      </c>
      <c r="L68" s="9" t="s">
        <v>38</v>
      </c>
      <c r="M68" s="4" t="s">
        <v>38</v>
      </c>
      <c r="N68" s="12">
        <f>4.17/24.19</f>
        <v>0.172385283174866</v>
      </c>
    </row>
    <row r="69" spans="1:14">
      <c r="A69" s="2" t="s">
        <v>245</v>
      </c>
      <c r="B69" s="7">
        <v>31.6</v>
      </c>
      <c r="C69" s="7">
        <v>27.9</v>
      </c>
      <c r="D69" s="8">
        <v>36.84</v>
      </c>
      <c r="E69" s="7">
        <f t="shared" si="21"/>
        <v>1.1326164874552</v>
      </c>
      <c r="F69" s="16">
        <f t="shared" si="22"/>
        <v>0.857763300760043</v>
      </c>
      <c r="G69" s="9">
        <v>69</v>
      </c>
      <c r="H69" s="9">
        <v>29</v>
      </c>
      <c r="I69" s="4">
        <f t="shared" si="23"/>
        <v>40</v>
      </c>
      <c r="J69" s="8" t="s">
        <v>38</v>
      </c>
      <c r="K69" s="7" t="s">
        <v>38</v>
      </c>
      <c r="L69" s="9" t="s">
        <v>38</v>
      </c>
      <c r="M69" s="4" t="s">
        <v>38</v>
      </c>
      <c r="N69" s="12">
        <f>8.73/27.91</f>
        <v>0.312791114295951</v>
      </c>
    </row>
    <row r="70" spans="1:14">
      <c r="A70" s="2" t="s">
        <v>108</v>
      </c>
      <c r="B70" s="16">
        <f t="shared" ref="B70:J70" si="25">AVERAGE(B68,B69)</f>
        <v>31.1</v>
      </c>
      <c r="C70" s="16">
        <f t="shared" si="25"/>
        <v>26.05</v>
      </c>
      <c r="D70" s="16">
        <f t="shared" si="25"/>
        <v>34.885</v>
      </c>
      <c r="E70" s="16">
        <f t="shared" si="25"/>
        <v>1.19853964868628</v>
      </c>
      <c r="F70" s="16">
        <f t="shared" si="25"/>
        <v>0.893503575676104</v>
      </c>
      <c r="G70" s="4">
        <f t="shared" si="25"/>
        <v>59</v>
      </c>
      <c r="H70" s="4">
        <f t="shared" si="25"/>
        <v>31</v>
      </c>
      <c r="I70" s="4">
        <f t="shared" si="25"/>
        <v>28</v>
      </c>
      <c r="J70" s="16">
        <f t="shared" si="25"/>
        <v>141</v>
      </c>
      <c r="K70" s="4" t="s">
        <v>38</v>
      </c>
      <c r="L70" s="4" t="s">
        <v>38</v>
      </c>
      <c r="M70" s="16" t="s">
        <v>38</v>
      </c>
      <c r="N70" s="28">
        <f>AVERAGE(N68,N69)</f>
        <v>0.242588198735408</v>
      </c>
    </row>
    <row r="71" spans="2:13">
      <c r="B71" s="3" t="s">
        <v>0</v>
      </c>
      <c r="C71" s="3" t="s">
        <v>143</v>
      </c>
      <c r="D71" s="4"/>
      <c r="E71" s="4"/>
      <c r="F71" s="4"/>
      <c r="G71" s="4"/>
      <c r="H71" s="4"/>
      <c r="I71" s="4"/>
      <c r="J71" s="4"/>
      <c r="K71" s="4"/>
      <c r="L71" s="4"/>
      <c r="M71" s="3" t="s">
        <v>144</v>
      </c>
    </row>
    <row r="72" spans="1:13">
      <c r="A72" s="4" t="s">
        <v>246</v>
      </c>
      <c r="B72" s="16">
        <v>14.04</v>
      </c>
      <c r="C72" s="16">
        <v>5.96</v>
      </c>
      <c r="D72" s="4"/>
      <c r="E72" s="4"/>
      <c r="F72" s="4"/>
      <c r="G72" s="4"/>
      <c r="H72" s="4"/>
      <c r="I72" s="4"/>
      <c r="J72" s="4"/>
      <c r="K72" s="4"/>
      <c r="L72" s="4"/>
      <c r="M72" s="16">
        <f>B72/C72</f>
        <v>2.35570469798658</v>
      </c>
    </row>
    <row r="74" spans="1:14">
      <c r="A74" s="2" t="s">
        <v>247</v>
      </c>
      <c r="B74" s="7">
        <v>10.4</v>
      </c>
      <c r="C74" s="7" t="s">
        <v>38</v>
      </c>
      <c r="D74" s="8">
        <v>11.9</v>
      </c>
      <c r="E74" s="7" t="s">
        <v>38</v>
      </c>
      <c r="F74" s="16">
        <f t="shared" ref="F74:F82" si="26">B74/D74</f>
        <v>0.873949579831933</v>
      </c>
      <c r="G74" s="7" t="s">
        <v>38</v>
      </c>
      <c r="H74" s="7" t="s">
        <v>38</v>
      </c>
      <c r="I74" s="7" t="s">
        <v>38</v>
      </c>
      <c r="J74" s="8">
        <v>38.7</v>
      </c>
      <c r="K74" s="8">
        <v>71.4</v>
      </c>
      <c r="L74" s="21">
        <f t="shared" ref="L74:L78" si="27">DEGREES(ACOS((J74^2+J75^2-K74^2)/(2*J74*J75)))</f>
        <v>155.194767467474</v>
      </c>
      <c r="M74" s="7" t="s">
        <v>38</v>
      </c>
      <c r="N74" s="28" t="s">
        <v>38</v>
      </c>
    </row>
    <row r="75" spans="1:22">
      <c r="A75" s="2" t="s">
        <v>248</v>
      </c>
      <c r="B75" s="7">
        <v>9.6</v>
      </c>
      <c r="C75" s="7" t="s">
        <v>38</v>
      </c>
      <c r="D75" s="8">
        <v>8.19</v>
      </c>
      <c r="E75" s="7" t="s">
        <v>38</v>
      </c>
      <c r="F75" s="16">
        <f t="shared" si="26"/>
        <v>1.17216117216117</v>
      </c>
      <c r="G75" s="7" t="s">
        <v>38</v>
      </c>
      <c r="H75" s="7" t="s">
        <v>38</v>
      </c>
      <c r="I75" s="7" t="s">
        <v>38</v>
      </c>
      <c r="J75" s="8">
        <v>34.4</v>
      </c>
      <c r="K75" s="8">
        <v>70.5</v>
      </c>
      <c r="L75" s="21">
        <f t="shared" si="27"/>
        <v>143.559737762956</v>
      </c>
      <c r="M75" s="7" t="s">
        <v>38</v>
      </c>
      <c r="N75" s="28" t="s">
        <v>38</v>
      </c>
      <c r="Q75" s="26"/>
      <c r="R75" s="26"/>
      <c r="S75" s="25"/>
      <c r="T75" s="25"/>
      <c r="U75" s="26"/>
      <c r="V75" s="24"/>
    </row>
    <row r="76" spans="1:23">
      <c r="A76" s="2" t="s">
        <v>249</v>
      </c>
      <c r="B76" s="7">
        <v>9.9</v>
      </c>
      <c r="C76" s="7" t="s">
        <v>38</v>
      </c>
      <c r="D76" s="8">
        <v>8.21</v>
      </c>
      <c r="E76" s="7" t="s">
        <v>38</v>
      </c>
      <c r="F76" s="16">
        <f t="shared" si="26"/>
        <v>1.20584652862363</v>
      </c>
      <c r="G76" s="7" t="s">
        <v>38</v>
      </c>
      <c r="H76" s="7" t="s">
        <v>38</v>
      </c>
      <c r="I76" s="7" t="s">
        <v>38</v>
      </c>
      <c r="J76" s="8">
        <v>39.8</v>
      </c>
      <c r="K76" s="8">
        <v>73.2</v>
      </c>
      <c r="L76" s="21">
        <f t="shared" si="27"/>
        <v>150.427878664935</v>
      </c>
      <c r="M76" s="7" t="s">
        <v>38</v>
      </c>
      <c r="N76" s="28" t="s">
        <v>38</v>
      </c>
      <c r="Q76" s="7"/>
      <c r="R76" s="7"/>
      <c r="S76" s="8"/>
      <c r="T76" s="8"/>
      <c r="U76" s="21"/>
      <c r="V76" s="28"/>
      <c r="W76" s="8"/>
    </row>
    <row r="77" spans="1:23">
      <c r="A77" s="2" t="s">
        <v>250</v>
      </c>
      <c r="B77" s="7">
        <v>10.6</v>
      </c>
      <c r="C77" s="7" t="s">
        <v>38</v>
      </c>
      <c r="D77" s="8">
        <v>9.59</v>
      </c>
      <c r="E77" s="7" t="s">
        <v>38</v>
      </c>
      <c r="F77" s="16">
        <f t="shared" si="26"/>
        <v>1.10531803962461</v>
      </c>
      <c r="G77" s="7" t="s">
        <v>38</v>
      </c>
      <c r="H77" s="7" t="s">
        <v>38</v>
      </c>
      <c r="I77" s="7" t="s">
        <v>38</v>
      </c>
      <c r="J77" s="8">
        <v>35.9</v>
      </c>
      <c r="K77" s="8">
        <v>69.8</v>
      </c>
      <c r="L77" s="21">
        <f t="shared" si="27"/>
        <v>152.236385366569</v>
      </c>
      <c r="M77" s="7" t="s">
        <v>38</v>
      </c>
      <c r="N77" s="28" t="s">
        <v>38</v>
      </c>
      <c r="Q77" s="7"/>
      <c r="R77" s="7"/>
      <c r="S77" s="8"/>
      <c r="T77" s="8"/>
      <c r="U77" s="22"/>
      <c r="V77" s="28"/>
      <c r="W77" s="8"/>
    </row>
    <row r="78" spans="1:23">
      <c r="A78" s="2" t="s">
        <v>251</v>
      </c>
      <c r="B78" s="7">
        <v>11.1</v>
      </c>
      <c r="C78" s="7" t="s">
        <v>38</v>
      </c>
      <c r="D78" s="8">
        <v>8.63</v>
      </c>
      <c r="E78" s="7" t="s">
        <v>38</v>
      </c>
      <c r="F78" s="16">
        <f t="shared" si="26"/>
        <v>1.28621089223638</v>
      </c>
      <c r="G78" s="7" t="s">
        <v>38</v>
      </c>
      <c r="H78" s="7" t="s">
        <v>38</v>
      </c>
      <c r="I78" s="7" t="s">
        <v>38</v>
      </c>
      <c r="J78" s="16">
        <v>36</v>
      </c>
      <c r="K78" s="8">
        <v>74</v>
      </c>
      <c r="L78" s="21">
        <f t="shared" si="27"/>
        <v>157.860499350696</v>
      </c>
      <c r="M78" s="7" t="s">
        <v>38</v>
      </c>
      <c r="N78" s="28" t="s">
        <v>38</v>
      </c>
      <c r="Q78" s="7"/>
      <c r="R78" s="7"/>
      <c r="S78" s="8"/>
      <c r="T78" s="8"/>
      <c r="U78" s="22"/>
      <c r="V78" s="28"/>
      <c r="W78" s="8"/>
    </row>
    <row r="79" spans="1:23">
      <c r="A79" s="2" t="s">
        <v>252</v>
      </c>
      <c r="B79" s="7">
        <v>9.8</v>
      </c>
      <c r="C79" s="7" t="s">
        <v>38</v>
      </c>
      <c r="D79" s="8">
        <v>7.98</v>
      </c>
      <c r="E79" s="7" t="s">
        <v>38</v>
      </c>
      <c r="F79" s="16">
        <f t="shared" si="26"/>
        <v>1.2280701754386</v>
      </c>
      <c r="G79" s="7" t="s">
        <v>38</v>
      </c>
      <c r="H79" s="7" t="s">
        <v>38</v>
      </c>
      <c r="I79" s="7" t="s">
        <v>38</v>
      </c>
      <c r="J79" s="8">
        <v>39.4</v>
      </c>
      <c r="K79" s="8">
        <v>74.6</v>
      </c>
      <c r="L79" s="21">
        <v>163</v>
      </c>
      <c r="M79" s="7" t="s">
        <v>38</v>
      </c>
      <c r="N79" s="28" t="s">
        <v>38</v>
      </c>
      <c r="Q79" s="7"/>
      <c r="R79" s="7"/>
      <c r="S79" s="8"/>
      <c r="T79" s="8"/>
      <c r="U79" s="22"/>
      <c r="V79" s="28"/>
      <c r="W79" s="8"/>
    </row>
    <row r="80" spans="1:23">
      <c r="A80" s="2" t="s">
        <v>253</v>
      </c>
      <c r="B80" s="7">
        <v>8.8</v>
      </c>
      <c r="C80" s="7">
        <v>7.8</v>
      </c>
      <c r="D80" s="8">
        <v>8.87</v>
      </c>
      <c r="E80" s="20">
        <f t="shared" ref="E80:E89" si="28">B80/C80</f>
        <v>1.12820512820513</v>
      </c>
      <c r="F80" s="16">
        <f t="shared" si="26"/>
        <v>0.992108229988726</v>
      </c>
      <c r="G80" s="13">
        <v>57</v>
      </c>
      <c r="H80" s="13">
        <f t="shared" ref="H80:H89" si="29">G80-I80</f>
        <v>22</v>
      </c>
      <c r="I80" s="13">
        <v>35</v>
      </c>
      <c r="J80" s="16">
        <v>35</v>
      </c>
      <c r="K80" s="8">
        <v>64.6</v>
      </c>
      <c r="L80" s="21">
        <f>DEGREES(ACOS((J80^2+J81^2-K80^2)/(2*J80*J81)))</f>
        <v>149.831863712102</v>
      </c>
      <c r="M80" s="16">
        <v>6</v>
      </c>
      <c r="N80" s="12">
        <f>1.62/7.79</f>
        <v>0.20795892169448</v>
      </c>
      <c r="Q80" s="7"/>
      <c r="R80" s="7"/>
      <c r="S80" s="16"/>
      <c r="T80" s="8"/>
      <c r="U80" s="22"/>
      <c r="V80" s="28"/>
      <c r="W80" s="8"/>
    </row>
    <row r="81" spans="1:23">
      <c r="A81" s="2" t="s">
        <v>254</v>
      </c>
      <c r="B81" s="7">
        <v>10</v>
      </c>
      <c r="C81" s="7">
        <v>7.4</v>
      </c>
      <c r="D81" s="8">
        <v>9.82</v>
      </c>
      <c r="E81" s="20">
        <f t="shared" si="28"/>
        <v>1.35135135135135</v>
      </c>
      <c r="F81" s="16">
        <f t="shared" si="26"/>
        <v>1.0183299389002</v>
      </c>
      <c r="G81" s="13">
        <v>53</v>
      </c>
      <c r="H81" s="13">
        <f t="shared" si="29"/>
        <v>24</v>
      </c>
      <c r="I81" s="13">
        <v>29</v>
      </c>
      <c r="J81" s="8">
        <v>31.9</v>
      </c>
      <c r="K81" s="8" t="s">
        <v>38</v>
      </c>
      <c r="L81" s="21" t="s">
        <v>38</v>
      </c>
      <c r="M81" s="22" t="s">
        <v>38</v>
      </c>
      <c r="N81" s="12">
        <f>2.24/7.43</f>
        <v>0.301480484522207</v>
      </c>
      <c r="Q81" s="7"/>
      <c r="R81" s="7"/>
      <c r="S81" s="8"/>
      <c r="T81" s="8"/>
      <c r="U81" s="22"/>
      <c r="V81" s="28"/>
      <c r="W81" s="8"/>
    </row>
    <row r="82" spans="1:23">
      <c r="A82" s="2" t="s">
        <v>255</v>
      </c>
      <c r="B82" s="7">
        <v>9.6</v>
      </c>
      <c r="C82" s="7"/>
      <c r="D82" s="8">
        <v>9.14</v>
      </c>
      <c r="E82" s="20" t="s">
        <v>38</v>
      </c>
      <c r="F82" s="16">
        <f t="shared" si="26"/>
        <v>1.05032822757112</v>
      </c>
      <c r="G82" s="22" t="s">
        <v>38</v>
      </c>
      <c r="H82" s="22" t="s">
        <v>38</v>
      </c>
      <c r="I82" s="22" t="s">
        <v>38</v>
      </c>
      <c r="J82" s="8" t="s">
        <v>38</v>
      </c>
      <c r="K82" s="8" t="s">
        <v>38</v>
      </c>
      <c r="L82" s="21" t="s">
        <v>38</v>
      </c>
      <c r="M82" s="22" t="s">
        <v>38</v>
      </c>
      <c r="N82" s="28" t="s">
        <v>38</v>
      </c>
      <c r="Q82" s="13"/>
      <c r="R82" s="13"/>
      <c r="S82" s="16"/>
      <c r="T82" s="8"/>
      <c r="U82" s="22"/>
      <c r="V82" s="12"/>
      <c r="W82" s="8"/>
    </row>
    <row r="83" spans="1:23">
      <c r="A83" s="2" t="s">
        <v>108</v>
      </c>
      <c r="B83" s="7">
        <f t="shared" ref="B83:N83" si="30">AVERAGE(B74:B82)</f>
        <v>9.97777777777778</v>
      </c>
      <c r="C83" s="7">
        <f t="shared" si="30"/>
        <v>7.6</v>
      </c>
      <c r="D83" s="8">
        <f t="shared" si="30"/>
        <v>9.14777777777778</v>
      </c>
      <c r="E83" s="7">
        <f t="shared" si="30"/>
        <v>1.23977823977824</v>
      </c>
      <c r="F83" s="7">
        <f t="shared" si="30"/>
        <v>1.10359142048626</v>
      </c>
      <c r="G83" s="13">
        <f t="shared" si="30"/>
        <v>55</v>
      </c>
      <c r="H83" s="13">
        <f t="shared" si="30"/>
        <v>23</v>
      </c>
      <c r="I83" s="13">
        <f t="shared" si="30"/>
        <v>32</v>
      </c>
      <c r="J83" s="8">
        <f t="shared" si="30"/>
        <v>36.3875</v>
      </c>
      <c r="K83" s="8">
        <f t="shared" si="30"/>
        <v>71.1571428571429</v>
      </c>
      <c r="L83" s="13">
        <f t="shared" si="30"/>
        <v>153.158733189247</v>
      </c>
      <c r="M83" s="7">
        <f t="shared" si="30"/>
        <v>6</v>
      </c>
      <c r="N83" s="18">
        <f t="shared" si="30"/>
        <v>0.254719703108344</v>
      </c>
      <c r="Q83" s="13"/>
      <c r="R83" s="13"/>
      <c r="S83" s="8"/>
      <c r="T83" s="8"/>
      <c r="U83" s="22"/>
      <c r="V83" s="12"/>
      <c r="W83" s="8"/>
    </row>
    <row r="84" spans="2:23">
      <c r="B84" s="5"/>
      <c r="C84" s="5"/>
      <c r="D84" s="5"/>
      <c r="E84" s="5"/>
      <c r="F84" s="5"/>
      <c r="G84" s="6"/>
      <c r="H84" s="6"/>
      <c r="I84" s="6"/>
      <c r="J84" s="5"/>
      <c r="K84" s="5"/>
      <c r="L84" s="6"/>
      <c r="M84" s="6"/>
      <c r="N84" s="17"/>
      <c r="Q84" s="22"/>
      <c r="R84" s="22"/>
      <c r="S84" s="8"/>
      <c r="T84" s="8"/>
      <c r="U84" s="22"/>
      <c r="V84" s="28"/>
      <c r="W84" s="8"/>
    </row>
    <row r="85" spans="1:23">
      <c r="A85" s="4" t="s">
        <v>256</v>
      </c>
      <c r="B85" s="7">
        <v>28.4</v>
      </c>
      <c r="C85" s="7">
        <v>20.6</v>
      </c>
      <c r="D85" s="8">
        <v>30.62</v>
      </c>
      <c r="E85" s="7">
        <f t="shared" si="28"/>
        <v>1.37864077669903</v>
      </c>
      <c r="F85" s="16">
        <f t="shared" ref="F85:F89" si="31">B85/D85</f>
        <v>0.92749836708034</v>
      </c>
      <c r="G85" s="9">
        <v>52</v>
      </c>
      <c r="H85" s="9">
        <f t="shared" si="29"/>
        <v>24</v>
      </c>
      <c r="I85" s="9">
        <v>28</v>
      </c>
      <c r="J85" s="8">
        <v>130.5</v>
      </c>
      <c r="K85" s="8">
        <v>228.5</v>
      </c>
      <c r="L85" s="21">
        <f t="shared" ref="L85:L87" si="32">DEGREES(ACOS((J85^2+J86^2-K85^2)/(2*J85*J86)))</f>
        <v>134.515512726451</v>
      </c>
      <c r="M85" s="22">
        <v>-9</v>
      </c>
      <c r="N85" s="12">
        <f>7.31/20.6</f>
        <v>0.354854368932039</v>
      </c>
      <c r="Q85" s="13"/>
      <c r="R85" s="13"/>
      <c r="S85" s="8"/>
      <c r="T85" s="8"/>
      <c r="U85" s="13"/>
      <c r="V85" s="18"/>
      <c r="W85" s="8"/>
    </row>
    <row r="86" spans="1:14">
      <c r="A86" s="4" t="s">
        <v>257</v>
      </c>
      <c r="B86" s="7">
        <v>23.6</v>
      </c>
      <c r="C86" s="7">
        <v>21.6</v>
      </c>
      <c r="D86" s="8">
        <v>34.19</v>
      </c>
      <c r="E86" s="7">
        <f t="shared" si="28"/>
        <v>1.09259259259259</v>
      </c>
      <c r="F86" s="16">
        <f t="shared" si="31"/>
        <v>0.690260310032173</v>
      </c>
      <c r="G86" s="9">
        <v>61</v>
      </c>
      <c r="H86" s="9">
        <f t="shared" si="29"/>
        <v>23</v>
      </c>
      <c r="I86" s="9">
        <v>38</v>
      </c>
      <c r="J86" s="8">
        <v>117.2</v>
      </c>
      <c r="K86" s="8">
        <v>225.2</v>
      </c>
      <c r="L86" s="21">
        <f t="shared" si="32"/>
        <v>143.982143495079</v>
      </c>
      <c r="M86" s="22">
        <v>0</v>
      </c>
      <c r="N86" s="12">
        <f>2.91/21.43</f>
        <v>0.135790947270182</v>
      </c>
    </row>
    <row r="87" spans="1:14">
      <c r="A87" s="2" t="s">
        <v>258</v>
      </c>
      <c r="B87" s="7">
        <v>29</v>
      </c>
      <c r="C87" s="7">
        <v>23</v>
      </c>
      <c r="D87" s="8">
        <v>32.54</v>
      </c>
      <c r="E87" s="7">
        <f t="shared" si="28"/>
        <v>1.26086956521739</v>
      </c>
      <c r="F87" s="16">
        <f t="shared" si="31"/>
        <v>0.89121081745544</v>
      </c>
      <c r="G87" s="9">
        <v>47</v>
      </c>
      <c r="H87" s="9">
        <f t="shared" si="29"/>
        <v>32</v>
      </c>
      <c r="I87" s="9">
        <v>15</v>
      </c>
      <c r="J87" s="8">
        <v>119.6</v>
      </c>
      <c r="K87" s="8">
        <v>228.3</v>
      </c>
      <c r="L87" s="21">
        <f t="shared" si="32"/>
        <v>144.666564510715</v>
      </c>
      <c r="M87" s="22">
        <v>-14</v>
      </c>
      <c r="N87" s="12">
        <f>2.17/22.34</f>
        <v>0.0971351835273053</v>
      </c>
    </row>
    <row r="88" spans="1:14">
      <c r="A88" s="2" t="s">
        <v>259</v>
      </c>
      <c r="B88" s="7">
        <v>25.7</v>
      </c>
      <c r="C88" s="7">
        <v>20.7</v>
      </c>
      <c r="D88" s="8">
        <v>31.85</v>
      </c>
      <c r="E88" s="7">
        <f t="shared" si="28"/>
        <v>1.24154589371981</v>
      </c>
      <c r="F88" s="16">
        <f t="shared" si="31"/>
        <v>0.80690737833595</v>
      </c>
      <c r="G88" s="9">
        <v>47</v>
      </c>
      <c r="H88" s="9">
        <f t="shared" si="29"/>
        <v>26</v>
      </c>
      <c r="I88" s="9">
        <v>21</v>
      </c>
      <c r="J88" s="16">
        <v>120</v>
      </c>
      <c r="K88" s="8" t="s">
        <v>38</v>
      </c>
      <c r="L88" s="21"/>
      <c r="M88" s="22" t="s">
        <v>38</v>
      </c>
      <c r="N88" s="12">
        <f>0.51/21.22</f>
        <v>0.0240339302544769</v>
      </c>
    </row>
    <row r="89" spans="1:14">
      <c r="A89" s="2" t="s">
        <v>260</v>
      </c>
      <c r="B89" s="7">
        <v>29.37</v>
      </c>
      <c r="C89" s="7">
        <v>19.63</v>
      </c>
      <c r="D89" s="8">
        <v>25.73</v>
      </c>
      <c r="E89" s="7">
        <f t="shared" si="28"/>
        <v>1.49617931737137</v>
      </c>
      <c r="F89" s="16">
        <f t="shared" si="31"/>
        <v>1.14146910221531</v>
      </c>
      <c r="G89" s="9">
        <v>46.03</v>
      </c>
      <c r="H89" s="9">
        <f t="shared" si="29"/>
        <v>24.29</v>
      </c>
      <c r="I89" s="9">
        <v>21.74</v>
      </c>
      <c r="J89" s="8" t="s">
        <v>38</v>
      </c>
      <c r="K89" s="8" t="s">
        <v>38</v>
      </c>
      <c r="L89" s="21"/>
      <c r="M89" s="22" t="s">
        <v>38</v>
      </c>
      <c r="N89" s="12">
        <f>1.65/20.17</f>
        <v>0.0818046603867129</v>
      </c>
    </row>
    <row r="90" spans="1:14">
      <c r="A90" s="2" t="s">
        <v>108</v>
      </c>
      <c r="B90" s="7">
        <f t="shared" ref="B90:L90" si="33">AVERAGE(B85:B89)</f>
        <v>27.214</v>
      </c>
      <c r="C90" s="7">
        <f t="shared" si="33"/>
        <v>21.106</v>
      </c>
      <c r="D90" s="8">
        <f t="shared" si="33"/>
        <v>30.986</v>
      </c>
      <c r="E90" s="7">
        <f t="shared" si="33"/>
        <v>1.29396562912004</v>
      </c>
      <c r="F90" s="8">
        <f t="shared" si="33"/>
        <v>0.891469195023843</v>
      </c>
      <c r="G90" s="9">
        <f t="shared" si="33"/>
        <v>50.606</v>
      </c>
      <c r="H90" s="9">
        <f t="shared" si="33"/>
        <v>25.858</v>
      </c>
      <c r="I90" s="9">
        <f t="shared" si="33"/>
        <v>24.748</v>
      </c>
      <c r="J90" s="8">
        <f t="shared" si="33"/>
        <v>121.825</v>
      </c>
      <c r="K90" s="8">
        <f t="shared" si="33"/>
        <v>227.333333333333</v>
      </c>
      <c r="L90" s="13">
        <f t="shared" si="33"/>
        <v>141.054740244082</v>
      </c>
      <c r="M90" s="7" t="s">
        <v>261</v>
      </c>
      <c r="N90" s="12">
        <f>AVERAGE(N85:N89)</f>
        <v>0.138723818074143</v>
      </c>
    </row>
    <row r="91" spans="2:13">
      <c r="B91" s="3" t="s">
        <v>0</v>
      </c>
      <c r="C91" s="3" t="s">
        <v>143</v>
      </c>
      <c r="D91" s="4"/>
      <c r="E91" s="4"/>
      <c r="F91" s="4"/>
      <c r="G91" s="4"/>
      <c r="H91" s="4"/>
      <c r="I91" s="4"/>
      <c r="J91" s="4"/>
      <c r="K91" s="4"/>
      <c r="L91" s="4"/>
      <c r="M91" s="3" t="s">
        <v>144</v>
      </c>
    </row>
    <row r="92" spans="1:13">
      <c r="A92" s="4" t="s">
        <v>262</v>
      </c>
      <c r="B92" s="16">
        <v>12.69</v>
      </c>
      <c r="C92" s="16">
        <v>8.66</v>
      </c>
      <c r="D92" s="4"/>
      <c r="E92" s="4"/>
      <c r="F92" s="4"/>
      <c r="G92" s="4"/>
      <c r="H92" s="4"/>
      <c r="I92" s="4"/>
      <c r="J92" s="4"/>
      <c r="K92" s="4"/>
      <c r="L92" s="4"/>
      <c r="M92" s="16">
        <f>B92/C92</f>
        <v>1.46535796766744</v>
      </c>
    </row>
    <row r="94" spans="1:14">
      <c r="A94" s="23" t="s">
        <v>263</v>
      </c>
      <c r="B94" s="7">
        <v>37.9</v>
      </c>
      <c r="C94" s="7">
        <v>25.2</v>
      </c>
      <c r="D94" s="8">
        <v>36.45</v>
      </c>
      <c r="E94" s="7">
        <f t="shared" ref="E94:E99" si="34">B94/C94</f>
        <v>1.50396825396825</v>
      </c>
      <c r="F94" s="16">
        <f t="shared" ref="F94:F99" si="35">B94/D94</f>
        <v>1.039780521262</v>
      </c>
      <c r="G94" s="9">
        <v>48</v>
      </c>
      <c r="H94" s="9">
        <f t="shared" ref="H94:H99" si="36">G94-I94</f>
        <v>27</v>
      </c>
      <c r="I94" s="9">
        <v>21</v>
      </c>
      <c r="J94" s="16">
        <v>98</v>
      </c>
      <c r="K94" s="16">
        <v>195</v>
      </c>
      <c r="L94" s="21">
        <f t="shared" ref="L94:L99" si="37">DEGREES(ACOS((J94^2+J95^2-K94^2)/(2*J94*J95)))</f>
        <v>158.753344915422</v>
      </c>
      <c r="M94" s="22">
        <v>-13</v>
      </c>
      <c r="N94" s="12">
        <f>7.6/25.17</f>
        <v>0.301946762018276</v>
      </c>
    </row>
    <row r="95" spans="1:14">
      <c r="A95" s="23" t="s">
        <v>264</v>
      </c>
      <c r="B95" s="7">
        <v>24.4</v>
      </c>
      <c r="C95" s="7">
        <v>25.1</v>
      </c>
      <c r="D95" s="8">
        <v>34.05</v>
      </c>
      <c r="E95" s="7">
        <f t="shared" si="34"/>
        <v>0.97211155378486</v>
      </c>
      <c r="F95" s="16">
        <f t="shared" si="35"/>
        <v>0.716593245227606</v>
      </c>
      <c r="G95" s="9">
        <v>63</v>
      </c>
      <c r="H95" s="9">
        <f t="shared" si="36"/>
        <v>36</v>
      </c>
      <c r="I95" s="9">
        <v>27</v>
      </c>
      <c r="J95" s="16">
        <v>100.4</v>
      </c>
      <c r="K95" s="16">
        <v>197.4</v>
      </c>
      <c r="L95" s="21">
        <f t="shared" si="37"/>
        <v>161.154043039344</v>
      </c>
      <c r="M95" s="22">
        <v>4</v>
      </c>
      <c r="N95" s="12">
        <f>4.85/25.14</f>
        <v>0.192919649960223</v>
      </c>
    </row>
    <row r="96" spans="1:14">
      <c r="A96" s="23" t="s">
        <v>265</v>
      </c>
      <c r="B96" s="7">
        <v>26.4</v>
      </c>
      <c r="C96" s="7">
        <v>26.7</v>
      </c>
      <c r="D96" s="8">
        <v>36.99</v>
      </c>
      <c r="E96" s="7">
        <f t="shared" si="34"/>
        <v>0.98876404494382</v>
      </c>
      <c r="F96" s="16">
        <f t="shared" si="35"/>
        <v>0.713706407137064</v>
      </c>
      <c r="G96" s="9">
        <v>65</v>
      </c>
      <c r="H96" s="9">
        <f t="shared" si="36"/>
        <v>29</v>
      </c>
      <c r="I96" s="9">
        <v>36</v>
      </c>
      <c r="J96" s="16">
        <v>99.7</v>
      </c>
      <c r="K96" s="16">
        <v>193.4</v>
      </c>
      <c r="L96" s="21">
        <f t="shared" si="37"/>
        <v>155.783932955653</v>
      </c>
      <c r="M96" s="22">
        <v>6</v>
      </c>
      <c r="N96" s="12">
        <f>4.4/25.4</f>
        <v>0.173228346456693</v>
      </c>
    </row>
    <row r="97" spans="1:14">
      <c r="A97" s="23" t="s">
        <v>266</v>
      </c>
      <c r="B97" s="7">
        <v>23.1</v>
      </c>
      <c r="C97" s="7">
        <v>25.3</v>
      </c>
      <c r="D97" s="8">
        <v>31.76</v>
      </c>
      <c r="E97" s="7">
        <f t="shared" si="34"/>
        <v>0.91304347826087</v>
      </c>
      <c r="F97" s="16">
        <f t="shared" si="35"/>
        <v>0.727329974811083</v>
      </c>
      <c r="G97" s="9">
        <v>71</v>
      </c>
      <c r="H97" s="9">
        <f t="shared" si="36"/>
        <v>30</v>
      </c>
      <c r="I97" s="9">
        <v>41</v>
      </c>
      <c r="J97" s="16">
        <v>98.1</v>
      </c>
      <c r="K97" s="16">
        <v>195.3</v>
      </c>
      <c r="L97" s="21">
        <f t="shared" si="37"/>
        <v>173.652519183978</v>
      </c>
      <c r="M97" s="22">
        <v>-4</v>
      </c>
      <c r="N97" s="12">
        <f>4.9/25.3</f>
        <v>0.193675889328063</v>
      </c>
    </row>
    <row r="98" spans="1:14">
      <c r="A98" s="23" t="s">
        <v>267</v>
      </c>
      <c r="B98" s="7">
        <v>23.9</v>
      </c>
      <c r="C98" s="7">
        <v>27.5</v>
      </c>
      <c r="D98" s="8">
        <v>32.66</v>
      </c>
      <c r="E98" s="7">
        <f t="shared" si="34"/>
        <v>0.869090909090909</v>
      </c>
      <c r="F98" s="16">
        <f t="shared" si="35"/>
        <v>0.731781996325781</v>
      </c>
      <c r="G98" s="9">
        <v>72</v>
      </c>
      <c r="H98" s="9">
        <f t="shared" si="36"/>
        <v>47</v>
      </c>
      <c r="I98" s="9">
        <v>25</v>
      </c>
      <c r="J98" s="8">
        <v>97.5</v>
      </c>
      <c r="K98" s="8">
        <v>186.1</v>
      </c>
      <c r="L98" s="21">
        <f t="shared" si="37"/>
        <v>155.043238048514</v>
      </c>
      <c r="M98" s="22">
        <v>-4</v>
      </c>
      <c r="N98" s="12">
        <f>4.34/27.46</f>
        <v>0.158048069919883</v>
      </c>
    </row>
    <row r="99" spans="1:14">
      <c r="A99" s="23" t="s">
        <v>268</v>
      </c>
      <c r="B99" s="7">
        <v>26.1</v>
      </c>
      <c r="C99" s="7">
        <v>22.2</v>
      </c>
      <c r="D99" s="8">
        <v>30.46</v>
      </c>
      <c r="E99" s="7">
        <f t="shared" si="34"/>
        <v>1.17567567567568</v>
      </c>
      <c r="F99" s="16">
        <f t="shared" si="35"/>
        <v>0.856861457649376</v>
      </c>
      <c r="G99" s="9">
        <v>59</v>
      </c>
      <c r="H99" s="9">
        <f t="shared" si="36"/>
        <v>37</v>
      </c>
      <c r="I99" s="9">
        <v>22</v>
      </c>
      <c r="J99" s="8">
        <v>93.1</v>
      </c>
      <c r="K99" s="8">
        <v>187.6</v>
      </c>
      <c r="L99" s="21">
        <f t="shared" si="37"/>
        <v>156.824769655899</v>
      </c>
      <c r="M99" s="22">
        <v>0</v>
      </c>
      <c r="N99" s="12">
        <f>5.55/22.16</f>
        <v>0.250451263537906</v>
      </c>
    </row>
    <row r="100" spans="1:14">
      <c r="A100" s="23" t="s">
        <v>269</v>
      </c>
      <c r="B100" s="7" t="s">
        <v>38</v>
      </c>
      <c r="C100" s="7" t="s">
        <v>38</v>
      </c>
      <c r="D100" s="8" t="s">
        <v>38</v>
      </c>
      <c r="E100" s="7" t="s">
        <v>38</v>
      </c>
      <c r="F100" s="16" t="s">
        <v>38</v>
      </c>
      <c r="G100" s="9" t="s">
        <v>38</v>
      </c>
      <c r="H100" s="9" t="s">
        <v>38</v>
      </c>
      <c r="I100" s="9" t="s">
        <v>38</v>
      </c>
      <c r="J100" s="8">
        <v>98.4</v>
      </c>
      <c r="K100" s="8" t="s">
        <v>38</v>
      </c>
      <c r="L100" s="21" t="s">
        <v>38</v>
      </c>
      <c r="M100" s="22" t="s">
        <v>38</v>
      </c>
      <c r="N100" s="12" t="s">
        <v>38</v>
      </c>
    </row>
    <row r="101" spans="1:14">
      <c r="A101" s="23" t="s">
        <v>270</v>
      </c>
      <c r="B101" s="7">
        <v>27.1</v>
      </c>
      <c r="C101" s="7" t="s">
        <v>38</v>
      </c>
      <c r="D101" s="8" t="s">
        <v>38</v>
      </c>
      <c r="E101" s="7" t="s">
        <v>38</v>
      </c>
      <c r="F101" s="16" t="s">
        <v>38</v>
      </c>
      <c r="G101" s="9" t="s">
        <v>38</v>
      </c>
      <c r="H101" s="9" t="s">
        <v>38</v>
      </c>
      <c r="I101" s="9">
        <v>26</v>
      </c>
      <c r="J101" s="8" t="s">
        <v>38</v>
      </c>
      <c r="K101" s="8" t="s">
        <v>38</v>
      </c>
      <c r="L101" s="21"/>
      <c r="M101" s="22" t="s">
        <v>38</v>
      </c>
      <c r="N101" s="12" t="s">
        <v>38</v>
      </c>
    </row>
    <row r="102" spans="1:14">
      <c r="A102" s="23" t="s">
        <v>271</v>
      </c>
      <c r="B102" s="7" t="s">
        <v>38</v>
      </c>
      <c r="C102" s="7" t="s">
        <v>38</v>
      </c>
      <c r="D102" s="8" t="s">
        <v>38</v>
      </c>
      <c r="E102" s="7" t="s">
        <v>38</v>
      </c>
      <c r="F102" s="16" t="s">
        <v>38</v>
      </c>
      <c r="G102" s="9" t="s">
        <v>38</v>
      </c>
      <c r="H102" s="9" t="s">
        <v>38</v>
      </c>
      <c r="I102" s="9" t="s">
        <v>38</v>
      </c>
      <c r="J102" s="8" t="s">
        <v>38</v>
      </c>
      <c r="K102" s="8" t="s">
        <v>38</v>
      </c>
      <c r="L102" s="21" t="s">
        <v>38</v>
      </c>
      <c r="M102" s="22" t="s">
        <v>38</v>
      </c>
      <c r="N102" s="12" t="s">
        <v>38</v>
      </c>
    </row>
    <row r="103" spans="1:15">
      <c r="A103" s="2" t="s">
        <v>108</v>
      </c>
      <c r="B103" s="20">
        <f t="shared" ref="B103:L103" si="38">AVERAGE(B94:B102)</f>
        <v>26.9857142857143</v>
      </c>
      <c r="C103" s="20">
        <f t="shared" si="38"/>
        <v>25.3333333333333</v>
      </c>
      <c r="D103" s="16">
        <f t="shared" si="38"/>
        <v>33.7283333333333</v>
      </c>
      <c r="E103" s="20">
        <f t="shared" si="38"/>
        <v>1.0704423192874</v>
      </c>
      <c r="F103" s="16">
        <f t="shared" si="38"/>
        <v>0.797675600402152</v>
      </c>
      <c r="G103" s="21">
        <f t="shared" si="38"/>
        <v>63</v>
      </c>
      <c r="H103" s="21">
        <f t="shared" si="38"/>
        <v>34.3333333333333</v>
      </c>
      <c r="I103" s="21">
        <f t="shared" si="38"/>
        <v>28.2857142857143</v>
      </c>
      <c r="J103" s="16">
        <f t="shared" si="38"/>
        <v>97.8857142857143</v>
      </c>
      <c r="K103" s="16">
        <f t="shared" si="38"/>
        <v>192.466666666667</v>
      </c>
      <c r="L103" s="21">
        <f t="shared" si="38"/>
        <v>160.201974633135</v>
      </c>
      <c r="M103" s="21" t="s">
        <v>181</v>
      </c>
      <c r="N103" s="29">
        <f>AVERAGE(N94:N102)</f>
        <v>0.211711663536841</v>
      </c>
      <c r="O103" s="20"/>
    </row>
    <row r="104" spans="15:15">
      <c r="O104" s="20"/>
    </row>
    <row r="105" spans="1:15">
      <c r="A105" s="23" t="s">
        <v>272</v>
      </c>
      <c r="B105" s="7">
        <v>11.4</v>
      </c>
      <c r="C105" s="7" t="s">
        <v>38</v>
      </c>
      <c r="D105" s="16">
        <v>11.68</v>
      </c>
      <c r="E105" s="20" t="s">
        <v>38</v>
      </c>
      <c r="F105" s="16">
        <f t="shared" ref="F105:F109" si="39">B105/D105</f>
        <v>0.976027397260274</v>
      </c>
      <c r="G105" s="7" t="s">
        <v>38</v>
      </c>
      <c r="H105" s="7" t="s">
        <v>38</v>
      </c>
      <c r="I105" s="22" t="s">
        <v>38</v>
      </c>
      <c r="J105" s="7">
        <v>41.4</v>
      </c>
      <c r="K105" s="7">
        <v>76.9</v>
      </c>
      <c r="L105" s="21">
        <f t="shared" ref="L105:L107" si="40">DEGREES(ACOS((J105^2+J106^2-K105^2)/(2*J105*J106)))</f>
        <v>148.989834768843</v>
      </c>
      <c r="M105" s="22" t="s">
        <v>38</v>
      </c>
      <c r="N105" s="28" t="s">
        <v>38</v>
      </c>
      <c r="O105" s="20"/>
    </row>
    <row r="106" spans="1:15">
      <c r="A106" s="23" t="s">
        <v>273</v>
      </c>
      <c r="B106" s="7">
        <v>11.1</v>
      </c>
      <c r="C106" s="7" t="s">
        <v>38</v>
      </c>
      <c r="D106" s="16">
        <v>11.44</v>
      </c>
      <c r="E106" s="20" t="s">
        <v>38</v>
      </c>
      <c r="F106" s="16">
        <f t="shared" si="39"/>
        <v>0.97027972027972</v>
      </c>
      <c r="G106" s="7" t="s">
        <v>38</v>
      </c>
      <c r="H106" s="7" t="s">
        <v>38</v>
      </c>
      <c r="I106" s="22" t="s">
        <v>38</v>
      </c>
      <c r="J106" s="7">
        <v>38.4</v>
      </c>
      <c r="K106" s="7">
        <v>78.7</v>
      </c>
      <c r="L106" s="21">
        <f t="shared" si="40"/>
        <v>143.689188647552</v>
      </c>
      <c r="M106" s="22" t="s">
        <v>38</v>
      </c>
      <c r="N106" s="28" t="s">
        <v>38</v>
      </c>
      <c r="O106" s="20"/>
    </row>
    <row r="107" spans="1:15">
      <c r="A107" s="23" t="s">
        <v>274</v>
      </c>
      <c r="B107" s="7">
        <v>11.7</v>
      </c>
      <c r="C107" s="7" t="s">
        <v>38</v>
      </c>
      <c r="D107" s="16">
        <v>9.24</v>
      </c>
      <c r="E107" s="20" t="s">
        <v>38</v>
      </c>
      <c r="F107" s="16">
        <f t="shared" si="39"/>
        <v>1.26623376623377</v>
      </c>
      <c r="G107" s="7" t="s">
        <v>38</v>
      </c>
      <c r="H107" s="7" t="s">
        <v>38</v>
      </c>
      <c r="I107" s="22" t="s">
        <v>38</v>
      </c>
      <c r="J107" s="7">
        <v>44.4</v>
      </c>
      <c r="K107" s="7">
        <v>83.7</v>
      </c>
      <c r="L107" s="21">
        <f t="shared" si="40"/>
        <v>168.801668051448</v>
      </c>
      <c r="M107" s="22" t="s">
        <v>38</v>
      </c>
      <c r="N107" s="28" t="s">
        <v>38</v>
      </c>
      <c r="O107" s="20"/>
    </row>
    <row r="108" spans="1:15">
      <c r="A108" s="23" t="s">
        <v>275</v>
      </c>
      <c r="B108" s="7">
        <v>9</v>
      </c>
      <c r="C108" s="7" t="s">
        <v>38</v>
      </c>
      <c r="D108" s="16">
        <v>10.17</v>
      </c>
      <c r="E108" s="20" t="s">
        <v>38</v>
      </c>
      <c r="F108" s="16">
        <f t="shared" si="39"/>
        <v>0.884955752212389</v>
      </c>
      <c r="G108" s="7" t="s">
        <v>38</v>
      </c>
      <c r="H108" s="7" t="s">
        <v>38</v>
      </c>
      <c r="I108" s="22" t="s">
        <v>38</v>
      </c>
      <c r="J108" s="7">
        <v>39.7</v>
      </c>
      <c r="K108" s="7" t="s">
        <v>38</v>
      </c>
      <c r="L108" s="21" t="s">
        <v>38</v>
      </c>
      <c r="M108" s="22" t="s">
        <v>38</v>
      </c>
      <c r="N108" s="28" t="s">
        <v>38</v>
      </c>
      <c r="O108" s="20"/>
    </row>
    <row r="109" spans="1:15">
      <c r="A109" s="23" t="s">
        <v>276</v>
      </c>
      <c r="B109" s="20">
        <v>12.3</v>
      </c>
      <c r="C109" s="20">
        <v>8.86</v>
      </c>
      <c r="D109" s="16">
        <v>11.04</v>
      </c>
      <c r="E109" s="20">
        <f>B109/C109</f>
        <v>1.3882618510158</v>
      </c>
      <c r="F109" s="16">
        <f t="shared" si="39"/>
        <v>1.11413043478261</v>
      </c>
      <c r="G109" s="21">
        <v>52</v>
      </c>
      <c r="H109" s="21">
        <f>G109-I109</f>
        <v>28</v>
      </c>
      <c r="I109" s="21">
        <v>24</v>
      </c>
      <c r="J109" s="20" t="s">
        <v>38</v>
      </c>
      <c r="K109" s="20" t="s">
        <v>38</v>
      </c>
      <c r="L109" s="21" t="s">
        <v>38</v>
      </c>
      <c r="M109" s="22" t="s">
        <v>38</v>
      </c>
      <c r="N109" s="28">
        <f>3.04/8.86</f>
        <v>0.343115124153499</v>
      </c>
      <c r="O109" s="20"/>
    </row>
    <row r="110" spans="1:15">
      <c r="A110" s="2" t="s">
        <v>108</v>
      </c>
      <c r="B110" s="20">
        <f t="shared" ref="B110:F110" si="41">AVERAGE(B105:B109)</f>
        <v>11.1</v>
      </c>
      <c r="C110" s="20">
        <f t="shared" si="41"/>
        <v>8.86</v>
      </c>
      <c r="D110" s="16">
        <f t="shared" si="41"/>
        <v>10.714</v>
      </c>
      <c r="E110" s="20">
        <f t="shared" si="41"/>
        <v>1.3882618510158</v>
      </c>
      <c r="F110" s="20">
        <f t="shared" si="41"/>
        <v>1.04232541415375</v>
      </c>
      <c r="G110" s="21">
        <f t="shared" ref="G110:I110" si="42">AVERAGE(G109:G109)</f>
        <v>52</v>
      </c>
      <c r="H110" s="21">
        <f t="shared" si="42"/>
        <v>28</v>
      </c>
      <c r="I110" s="21">
        <f t="shared" si="42"/>
        <v>24</v>
      </c>
      <c r="J110" s="20">
        <f t="shared" ref="J110:L110" si="43">AVERAGE(J105:J109)</f>
        <v>40.975</v>
      </c>
      <c r="K110" s="20">
        <f t="shared" si="43"/>
        <v>79.7666666666667</v>
      </c>
      <c r="L110" s="21">
        <f t="shared" si="43"/>
        <v>153.826897155947</v>
      </c>
      <c r="M110" s="20" t="s">
        <v>38</v>
      </c>
      <c r="N110" s="28">
        <f>AVERAGE(N105:N109)</f>
        <v>0.343115124153499</v>
      </c>
      <c r="O110" s="20"/>
    </row>
    <row r="111" spans="1:15">
      <c r="A111" s="23"/>
      <c r="B111" s="7"/>
      <c r="C111" s="7"/>
      <c r="D111" s="24"/>
      <c r="E111" s="25"/>
      <c r="F111" s="24"/>
      <c r="G111" s="26"/>
      <c r="H111" s="7"/>
      <c r="I111" s="22"/>
      <c r="J111" s="25"/>
      <c r="K111" s="25"/>
      <c r="L111" s="26"/>
      <c r="M111" s="26"/>
      <c r="N111" s="24"/>
      <c r="O111" s="20"/>
    </row>
    <row r="112" spans="1:15">
      <c r="A112" s="23" t="s">
        <v>277</v>
      </c>
      <c r="B112" s="27">
        <v>18.2</v>
      </c>
      <c r="C112" s="27" t="s">
        <v>38</v>
      </c>
      <c r="D112" s="27" t="s">
        <v>38</v>
      </c>
      <c r="E112" s="20" t="s">
        <v>38</v>
      </c>
      <c r="F112" s="28" t="s">
        <v>38</v>
      </c>
      <c r="G112" s="21" t="s">
        <v>38</v>
      </c>
      <c r="H112" s="21" t="s">
        <v>38</v>
      </c>
      <c r="I112" s="21" t="s">
        <v>38</v>
      </c>
      <c r="J112" s="27">
        <v>62.2</v>
      </c>
      <c r="K112" s="27">
        <v>107.2</v>
      </c>
      <c r="L112" s="21">
        <f t="shared" ref="L112:L140" si="44">DEGREES(ACOS((J113^2+J112^2-K112^2)/(2*J112*J113)))</f>
        <v>153.860618789453</v>
      </c>
      <c r="M112" s="22" t="s">
        <v>38</v>
      </c>
      <c r="N112" s="28" t="s">
        <v>38</v>
      </c>
      <c r="O112" s="20"/>
    </row>
    <row r="113" spans="1:15">
      <c r="A113" s="23" t="s">
        <v>278</v>
      </c>
      <c r="B113" s="27">
        <v>18.4</v>
      </c>
      <c r="C113" s="27" t="s">
        <v>38</v>
      </c>
      <c r="D113" s="27">
        <v>20.3</v>
      </c>
      <c r="E113" s="20" t="s">
        <v>38</v>
      </c>
      <c r="F113" s="16">
        <f t="shared" ref="F113:F128" si="45">B113/D113</f>
        <v>0.906403940886699</v>
      </c>
      <c r="G113" s="21" t="s">
        <v>38</v>
      </c>
      <c r="H113" s="21" t="s">
        <v>38</v>
      </c>
      <c r="I113" s="21" t="s">
        <v>38</v>
      </c>
      <c r="J113" s="27">
        <v>47.8</v>
      </c>
      <c r="K113" s="27">
        <v>97.7</v>
      </c>
      <c r="L113" s="21">
        <f t="shared" si="44"/>
        <v>157.504997716343</v>
      </c>
      <c r="M113" s="22" t="s">
        <v>38</v>
      </c>
      <c r="N113" s="28" t="s">
        <v>38</v>
      </c>
      <c r="O113" s="20"/>
    </row>
    <row r="114" spans="1:15">
      <c r="A114" s="23" t="s">
        <v>279</v>
      </c>
      <c r="B114" s="27">
        <v>16.9</v>
      </c>
      <c r="C114" s="27" t="s">
        <v>38</v>
      </c>
      <c r="D114" s="27">
        <v>16.3</v>
      </c>
      <c r="E114" s="20" t="s">
        <v>38</v>
      </c>
      <c r="F114" s="16">
        <f t="shared" si="45"/>
        <v>1.03680981595092</v>
      </c>
      <c r="G114" s="21" t="s">
        <v>38</v>
      </c>
      <c r="H114" s="21" t="s">
        <v>38</v>
      </c>
      <c r="I114" s="21" t="s">
        <v>38</v>
      </c>
      <c r="J114" s="27">
        <v>51.81</v>
      </c>
      <c r="K114" s="27">
        <v>104.4</v>
      </c>
      <c r="L114" s="21">
        <f t="shared" si="44"/>
        <v>178.413966058755</v>
      </c>
      <c r="M114" s="22" t="s">
        <v>38</v>
      </c>
      <c r="N114" s="28" t="s">
        <v>38</v>
      </c>
      <c r="O114" s="20"/>
    </row>
    <row r="115" spans="1:14">
      <c r="A115" s="2" t="s">
        <v>280</v>
      </c>
      <c r="B115" s="27">
        <v>17.8</v>
      </c>
      <c r="C115" s="27">
        <v>15.2</v>
      </c>
      <c r="D115" s="27">
        <v>19.5</v>
      </c>
      <c r="E115" s="20">
        <f>B115/C115</f>
        <v>1.17105263157895</v>
      </c>
      <c r="F115" s="16">
        <f t="shared" si="45"/>
        <v>0.912820512820513</v>
      </c>
      <c r="G115" s="21" t="s">
        <v>38</v>
      </c>
      <c r="H115" s="21" t="s">
        <v>38</v>
      </c>
      <c r="I115" s="21" t="s">
        <v>38</v>
      </c>
      <c r="J115" s="27">
        <v>52.6</v>
      </c>
      <c r="K115" s="27">
        <v>107.2</v>
      </c>
      <c r="L115" s="21">
        <f t="shared" si="44"/>
        <v>175.051372747733</v>
      </c>
      <c r="M115" s="22" t="s">
        <v>38</v>
      </c>
      <c r="N115" s="28" t="s">
        <v>38</v>
      </c>
    </row>
    <row r="116" spans="1:14">
      <c r="A116" s="23" t="s">
        <v>281</v>
      </c>
      <c r="B116" s="27">
        <v>19</v>
      </c>
      <c r="C116" s="27" t="s">
        <v>38</v>
      </c>
      <c r="D116" s="27">
        <v>18.7</v>
      </c>
      <c r="E116" s="20" t="s">
        <v>38</v>
      </c>
      <c r="F116" s="16">
        <f t="shared" si="45"/>
        <v>1.01604278074866</v>
      </c>
      <c r="G116" s="21" t="s">
        <v>38</v>
      </c>
      <c r="H116" s="21" t="s">
        <v>38</v>
      </c>
      <c r="I116" s="21" t="s">
        <v>38</v>
      </c>
      <c r="J116" s="27">
        <v>54.7</v>
      </c>
      <c r="K116" s="27">
        <v>110.8</v>
      </c>
      <c r="L116" s="21">
        <f t="shared" si="44"/>
        <v>163.205941471883</v>
      </c>
      <c r="M116" s="22" t="s">
        <v>38</v>
      </c>
      <c r="N116" s="28" t="s">
        <v>38</v>
      </c>
    </row>
    <row r="117" spans="1:14">
      <c r="A117" s="23" t="s">
        <v>282</v>
      </c>
      <c r="B117" s="27">
        <v>18.7</v>
      </c>
      <c r="C117" s="27" t="s">
        <v>38</v>
      </c>
      <c r="D117" s="27">
        <v>18.7</v>
      </c>
      <c r="E117" s="20" t="s">
        <v>38</v>
      </c>
      <c r="F117" s="16">
        <f t="shared" si="45"/>
        <v>1</v>
      </c>
      <c r="G117" s="21" t="s">
        <v>38</v>
      </c>
      <c r="H117" s="21" t="s">
        <v>38</v>
      </c>
      <c r="I117" s="21" t="s">
        <v>38</v>
      </c>
      <c r="J117" s="27">
        <v>57.3</v>
      </c>
      <c r="K117" s="27">
        <v>117.8</v>
      </c>
      <c r="L117" s="21">
        <f t="shared" si="44"/>
        <v>162.406765636764</v>
      </c>
      <c r="M117" s="22" t="s">
        <v>38</v>
      </c>
      <c r="N117" s="28" t="s">
        <v>38</v>
      </c>
    </row>
    <row r="118" spans="1:14">
      <c r="A118" s="23" t="s">
        <v>283</v>
      </c>
      <c r="B118" s="27">
        <v>19.1</v>
      </c>
      <c r="C118" s="27" t="s">
        <v>38</v>
      </c>
      <c r="D118" s="27">
        <v>18.8</v>
      </c>
      <c r="E118" s="20" t="s">
        <v>38</v>
      </c>
      <c r="F118" s="16">
        <f t="shared" si="45"/>
        <v>1.01595744680851</v>
      </c>
      <c r="G118" s="21" t="s">
        <v>38</v>
      </c>
      <c r="H118" s="21" t="s">
        <v>38</v>
      </c>
      <c r="I118" s="21" t="s">
        <v>38</v>
      </c>
      <c r="J118" s="27">
        <v>61.9</v>
      </c>
      <c r="K118" s="27">
        <v>109.5</v>
      </c>
      <c r="L118" s="21">
        <f t="shared" si="44"/>
        <v>166.977240315139</v>
      </c>
      <c r="M118" s="22" t="s">
        <v>38</v>
      </c>
      <c r="N118" s="28" t="s">
        <v>38</v>
      </c>
    </row>
    <row r="119" spans="1:14">
      <c r="A119" s="23" t="s">
        <v>284</v>
      </c>
      <c r="B119" s="27">
        <v>19.8</v>
      </c>
      <c r="C119" s="27" t="s">
        <v>38</v>
      </c>
      <c r="D119" s="27">
        <v>17.4</v>
      </c>
      <c r="E119" s="20" t="s">
        <v>38</v>
      </c>
      <c r="F119" s="16">
        <f t="shared" si="45"/>
        <v>1.13793103448276</v>
      </c>
      <c r="G119" s="21" t="s">
        <v>38</v>
      </c>
      <c r="H119" s="21" t="s">
        <v>38</v>
      </c>
      <c r="I119" s="21" t="s">
        <v>38</v>
      </c>
      <c r="J119" s="27">
        <v>48.3</v>
      </c>
      <c r="K119" s="27">
        <v>101.8</v>
      </c>
      <c r="L119" s="21">
        <f t="shared" si="44"/>
        <v>143.28728087543</v>
      </c>
      <c r="M119" s="22" t="s">
        <v>38</v>
      </c>
      <c r="N119" s="28" t="s">
        <v>38</v>
      </c>
    </row>
    <row r="120" spans="1:14">
      <c r="A120" s="23" t="s">
        <v>285</v>
      </c>
      <c r="B120" s="27">
        <v>17.6</v>
      </c>
      <c r="C120" s="27" t="s">
        <v>38</v>
      </c>
      <c r="D120" s="27">
        <v>16.9</v>
      </c>
      <c r="E120" s="20" t="s">
        <v>38</v>
      </c>
      <c r="F120" s="16">
        <f t="shared" si="45"/>
        <v>1.0414201183432</v>
      </c>
      <c r="G120" s="21" t="s">
        <v>38</v>
      </c>
      <c r="H120" s="21" t="s">
        <v>38</v>
      </c>
      <c r="I120" s="21" t="s">
        <v>38</v>
      </c>
      <c r="J120" s="27">
        <v>58.9</v>
      </c>
      <c r="K120" s="27">
        <v>109.01</v>
      </c>
      <c r="L120" s="21">
        <f t="shared" si="44"/>
        <v>165.36851507606</v>
      </c>
      <c r="M120" s="22" t="s">
        <v>38</v>
      </c>
      <c r="N120" s="28" t="s">
        <v>38</v>
      </c>
    </row>
    <row r="121" spans="1:14">
      <c r="A121" s="23" t="s">
        <v>286</v>
      </c>
      <c r="B121" s="27">
        <v>22.5</v>
      </c>
      <c r="C121" s="27">
        <v>16.8</v>
      </c>
      <c r="D121" s="27">
        <v>18.9</v>
      </c>
      <c r="E121" s="20">
        <f t="shared" ref="E121:E125" si="46">B121/C121</f>
        <v>1.33928571428571</v>
      </c>
      <c r="F121" s="16">
        <f t="shared" si="45"/>
        <v>1.19047619047619</v>
      </c>
      <c r="G121" s="21" t="s">
        <v>38</v>
      </c>
      <c r="H121" s="21" t="s">
        <v>38</v>
      </c>
      <c r="I121" s="21" t="s">
        <v>38</v>
      </c>
      <c r="J121" s="27">
        <v>51</v>
      </c>
      <c r="K121" s="27">
        <v>102.1</v>
      </c>
      <c r="L121" s="21">
        <f t="shared" si="44"/>
        <v>179.999998521221</v>
      </c>
      <c r="M121" s="22" t="s">
        <v>38</v>
      </c>
      <c r="N121" s="28" t="s">
        <v>38</v>
      </c>
    </row>
    <row r="122" spans="1:14">
      <c r="A122" s="23" t="s">
        <v>287</v>
      </c>
      <c r="B122" s="27">
        <v>19.1</v>
      </c>
      <c r="C122" s="27" t="s">
        <v>38</v>
      </c>
      <c r="D122" s="27">
        <v>16.6</v>
      </c>
      <c r="E122" s="20" t="s">
        <v>38</v>
      </c>
      <c r="F122" s="16">
        <f t="shared" si="45"/>
        <v>1.15060240963855</v>
      </c>
      <c r="G122" s="21" t="s">
        <v>38</v>
      </c>
      <c r="H122" s="21" t="s">
        <v>38</v>
      </c>
      <c r="I122" s="21" t="s">
        <v>38</v>
      </c>
      <c r="J122" s="27">
        <v>51.1</v>
      </c>
      <c r="K122" s="27">
        <v>93.02</v>
      </c>
      <c r="L122" s="21">
        <f t="shared" si="44"/>
        <v>155.362009348622</v>
      </c>
      <c r="M122" s="22" t="s">
        <v>38</v>
      </c>
      <c r="N122" s="28" t="s">
        <v>38</v>
      </c>
    </row>
    <row r="123" spans="1:14">
      <c r="A123" s="23" t="s">
        <v>288</v>
      </c>
      <c r="B123" s="27">
        <v>18</v>
      </c>
      <c r="C123" s="27">
        <v>12.9</v>
      </c>
      <c r="D123" s="27">
        <v>15.2</v>
      </c>
      <c r="E123" s="20">
        <f t="shared" si="46"/>
        <v>1.3953488372093</v>
      </c>
      <c r="F123" s="16">
        <f t="shared" si="45"/>
        <v>1.18421052631579</v>
      </c>
      <c r="G123" s="21">
        <f t="shared" ref="G123:G125" si="47">H123+I123</f>
        <v>52.8</v>
      </c>
      <c r="H123" s="21">
        <v>24.9</v>
      </c>
      <c r="I123" s="21">
        <v>27.9</v>
      </c>
      <c r="J123" s="27">
        <v>44.1</v>
      </c>
      <c r="K123" s="27">
        <v>94.96</v>
      </c>
      <c r="L123" s="21">
        <f t="shared" si="44"/>
        <v>159.423407590252</v>
      </c>
      <c r="M123" s="22">
        <v>9.32</v>
      </c>
      <c r="N123" s="28">
        <v>0.39</v>
      </c>
    </row>
    <row r="124" spans="1:14">
      <c r="A124" s="23" t="s">
        <v>289</v>
      </c>
      <c r="B124" s="27">
        <v>16.3</v>
      </c>
      <c r="C124" s="27">
        <v>14.1</v>
      </c>
      <c r="D124" s="27">
        <v>15.3</v>
      </c>
      <c r="E124" s="20">
        <f t="shared" si="46"/>
        <v>1.15602836879433</v>
      </c>
      <c r="F124" s="16">
        <f t="shared" si="45"/>
        <v>1.06535947712418</v>
      </c>
      <c r="G124" s="21">
        <f t="shared" si="47"/>
        <v>51.9</v>
      </c>
      <c r="H124" s="21">
        <v>22.2</v>
      </c>
      <c r="I124" s="21">
        <v>29.7</v>
      </c>
      <c r="J124" s="27">
        <v>52.4</v>
      </c>
      <c r="K124" s="27">
        <v>100.9</v>
      </c>
      <c r="L124" s="21">
        <f t="shared" si="44"/>
        <v>165.610683486322</v>
      </c>
      <c r="M124" s="22">
        <v>-2.6</v>
      </c>
      <c r="N124" s="28">
        <v>0.22</v>
      </c>
    </row>
    <row r="125" spans="1:14">
      <c r="A125" s="23" t="s">
        <v>290</v>
      </c>
      <c r="B125" s="27">
        <v>16.1</v>
      </c>
      <c r="C125" s="27">
        <v>15.5</v>
      </c>
      <c r="D125" s="27">
        <v>15.7</v>
      </c>
      <c r="E125" s="20">
        <f t="shared" si="46"/>
        <v>1.03870967741935</v>
      </c>
      <c r="F125" s="16">
        <f t="shared" si="45"/>
        <v>1.02547770700637</v>
      </c>
      <c r="G125" s="21">
        <f t="shared" si="47"/>
        <v>58.2</v>
      </c>
      <c r="H125" s="21">
        <v>23.5</v>
      </c>
      <c r="I125" s="21">
        <v>34.7</v>
      </c>
      <c r="J125" s="27">
        <v>49.3</v>
      </c>
      <c r="K125" s="27">
        <v>102.9</v>
      </c>
      <c r="L125" s="21">
        <f t="shared" si="44"/>
        <v>153.458098610496</v>
      </c>
      <c r="M125" s="22">
        <v>39.49</v>
      </c>
      <c r="N125" s="28">
        <v>0.17</v>
      </c>
    </row>
    <row r="126" spans="1:14">
      <c r="A126" s="23" t="s">
        <v>291</v>
      </c>
      <c r="B126" s="27">
        <v>18.3</v>
      </c>
      <c r="C126" s="27" t="s">
        <v>38</v>
      </c>
      <c r="D126" s="27">
        <v>19</v>
      </c>
      <c r="E126" s="20" t="s">
        <v>38</v>
      </c>
      <c r="F126" s="16">
        <f t="shared" si="45"/>
        <v>0.963157894736842</v>
      </c>
      <c r="G126" s="21" t="s">
        <v>38</v>
      </c>
      <c r="H126" s="21" t="s">
        <v>38</v>
      </c>
      <c r="I126" s="21" t="s">
        <v>38</v>
      </c>
      <c r="J126" s="27">
        <v>56.41</v>
      </c>
      <c r="K126" s="27">
        <v>111.7</v>
      </c>
      <c r="L126" s="21">
        <f t="shared" si="44"/>
        <v>178.4666324024</v>
      </c>
      <c r="M126" s="22" t="s">
        <v>38</v>
      </c>
      <c r="N126" s="28" t="s">
        <v>38</v>
      </c>
    </row>
    <row r="127" spans="1:14">
      <c r="A127" s="23" t="s">
        <v>292</v>
      </c>
      <c r="B127" s="27">
        <v>22</v>
      </c>
      <c r="C127" s="27" t="s">
        <v>38</v>
      </c>
      <c r="D127" s="27">
        <v>17.6</v>
      </c>
      <c r="E127" s="20" t="s">
        <v>38</v>
      </c>
      <c r="F127" s="16">
        <f t="shared" si="45"/>
        <v>1.25</v>
      </c>
      <c r="G127" s="21" t="s">
        <v>38</v>
      </c>
      <c r="H127" s="21" t="s">
        <v>38</v>
      </c>
      <c r="I127" s="21" t="s">
        <v>38</v>
      </c>
      <c r="J127" s="27">
        <v>55.3</v>
      </c>
      <c r="K127" s="27">
        <v>106.8</v>
      </c>
      <c r="L127" s="21">
        <f t="shared" si="44"/>
        <v>159.862087906158</v>
      </c>
      <c r="M127" s="22" t="s">
        <v>38</v>
      </c>
      <c r="N127" s="28" t="s">
        <v>38</v>
      </c>
    </row>
    <row r="128" spans="1:14">
      <c r="A128" s="23" t="s">
        <v>293</v>
      </c>
      <c r="B128" s="27">
        <v>17.7</v>
      </c>
      <c r="C128" s="27" t="s">
        <v>38</v>
      </c>
      <c r="D128" s="27">
        <v>16</v>
      </c>
      <c r="E128" s="20" t="s">
        <v>38</v>
      </c>
      <c r="F128" s="16">
        <f t="shared" si="45"/>
        <v>1.10625</v>
      </c>
      <c r="G128" s="21" t="s">
        <v>38</v>
      </c>
      <c r="H128" s="21" t="s">
        <v>38</v>
      </c>
      <c r="I128" s="21" t="s">
        <v>38</v>
      </c>
      <c r="J128" s="27">
        <v>53.17</v>
      </c>
      <c r="K128" s="27">
        <v>99.8</v>
      </c>
      <c r="L128" s="21">
        <f t="shared" si="44"/>
        <v>155.454430422961</v>
      </c>
      <c r="M128" s="22">
        <v>-8.3</v>
      </c>
      <c r="N128" s="28">
        <v>0.21</v>
      </c>
    </row>
    <row r="129" spans="1:14">
      <c r="A129" s="2" t="s">
        <v>294</v>
      </c>
      <c r="B129" s="27">
        <v>16.7</v>
      </c>
      <c r="C129" s="27">
        <v>12.2</v>
      </c>
      <c r="D129" s="20" t="s">
        <v>38</v>
      </c>
      <c r="E129" s="20">
        <f>B129/C129</f>
        <v>1.36885245901639</v>
      </c>
      <c r="F129" s="16" t="s">
        <v>38</v>
      </c>
      <c r="G129" s="21" t="s">
        <v>38</v>
      </c>
      <c r="H129" s="21" t="s">
        <v>38</v>
      </c>
      <c r="I129" s="21" t="s">
        <v>38</v>
      </c>
      <c r="J129" s="27">
        <v>48.96</v>
      </c>
      <c r="K129" s="27">
        <v>107.5</v>
      </c>
      <c r="L129" s="21">
        <f t="shared" si="44"/>
        <v>166.3512084273</v>
      </c>
      <c r="M129" s="22" t="s">
        <v>38</v>
      </c>
      <c r="N129" s="28" t="s">
        <v>38</v>
      </c>
    </row>
    <row r="130" spans="1:14">
      <c r="A130" s="23" t="s">
        <v>295</v>
      </c>
      <c r="B130" s="27" t="s">
        <v>38</v>
      </c>
      <c r="C130" s="27">
        <v>16.6</v>
      </c>
      <c r="D130" s="27">
        <v>17.6</v>
      </c>
      <c r="E130" s="20" t="s">
        <v>38</v>
      </c>
      <c r="F130" s="16" t="s">
        <v>38</v>
      </c>
      <c r="G130" s="21">
        <v>57.2</v>
      </c>
      <c r="H130" s="21" t="s">
        <v>38</v>
      </c>
      <c r="I130" s="21" t="s">
        <v>38</v>
      </c>
      <c r="J130" s="27">
        <v>59.3</v>
      </c>
      <c r="K130" s="27">
        <v>119.5</v>
      </c>
      <c r="L130" s="21">
        <f t="shared" si="44"/>
        <v>163.825485004963</v>
      </c>
      <c r="M130" s="22" t="s">
        <v>38</v>
      </c>
      <c r="N130" s="28" t="s">
        <v>38</v>
      </c>
    </row>
    <row r="131" spans="1:14">
      <c r="A131" s="23" t="s">
        <v>296</v>
      </c>
      <c r="B131" s="27">
        <v>17.2</v>
      </c>
      <c r="C131" s="27" t="s">
        <v>38</v>
      </c>
      <c r="D131" s="27">
        <v>17.5</v>
      </c>
      <c r="E131" s="20" t="s">
        <v>38</v>
      </c>
      <c r="F131" s="16">
        <f t="shared" ref="F131:F135" si="48">B131/D131</f>
        <v>0.982857142857143</v>
      </c>
      <c r="G131" s="21" t="s">
        <v>38</v>
      </c>
      <c r="H131" s="21" t="s">
        <v>38</v>
      </c>
      <c r="I131" s="21" t="s">
        <v>38</v>
      </c>
      <c r="J131" s="27">
        <v>61.4</v>
      </c>
      <c r="K131" s="27">
        <v>126.3</v>
      </c>
      <c r="L131" s="21">
        <f t="shared" si="44"/>
        <v>179.999998521221</v>
      </c>
      <c r="M131" s="22">
        <v>-4.95</v>
      </c>
      <c r="N131" s="28" t="s">
        <v>38</v>
      </c>
    </row>
    <row r="132" spans="1:14">
      <c r="A132" s="23" t="s">
        <v>297</v>
      </c>
      <c r="B132" s="27">
        <v>17.4</v>
      </c>
      <c r="C132" s="27" t="s">
        <v>38</v>
      </c>
      <c r="D132" s="27">
        <v>14.3</v>
      </c>
      <c r="E132" s="20" t="s">
        <v>38</v>
      </c>
      <c r="F132" s="16">
        <f t="shared" si="48"/>
        <v>1.21678321678322</v>
      </c>
      <c r="G132" s="21" t="s">
        <v>38</v>
      </c>
      <c r="H132" s="21" t="s">
        <v>38</v>
      </c>
      <c r="I132" s="21" t="s">
        <v>38</v>
      </c>
      <c r="J132" s="27">
        <v>64.9</v>
      </c>
      <c r="K132" s="27">
        <v>114.8</v>
      </c>
      <c r="L132" s="21">
        <f t="shared" si="44"/>
        <v>162.069797333978</v>
      </c>
      <c r="M132" s="22" t="s">
        <v>38</v>
      </c>
      <c r="N132" s="28" t="s">
        <v>38</v>
      </c>
    </row>
    <row r="133" spans="1:14">
      <c r="A133" s="23" t="s">
        <v>298</v>
      </c>
      <c r="B133" s="27">
        <v>21.5</v>
      </c>
      <c r="C133" s="27" t="s">
        <v>38</v>
      </c>
      <c r="D133" s="27">
        <v>14.9</v>
      </c>
      <c r="E133" s="20" t="s">
        <v>38</v>
      </c>
      <c r="F133" s="16">
        <f t="shared" si="48"/>
        <v>1.44295302013423</v>
      </c>
      <c r="G133" s="21" t="s">
        <v>38</v>
      </c>
      <c r="H133" s="21" t="s">
        <v>38</v>
      </c>
      <c r="I133" s="21" t="s">
        <v>38</v>
      </c>
      <c r="J133" s="27">
        <v>51.3</v>
      </c>
      <c r="K133" s="27">
        <v>86.8</v>
      </c>
      <c r="L133" s="21">
        <f t="shared" si="44"/>
        <v>153.932585918251</v>
      </c>
      <c r="M133" s="22" t="s">
        <v>38</v>
      </c>
      <c r="N133" s="28" t="s">
        <v>38</v>
      </c>
    </row>
    <row r="134" spans="1:14">
      <c r="A134" s="23" t="s">
        <v>299</v>
      </c>
      <c r="B134" s="27">
        <v>17.5</v>
      </c>
      <c r="C134" s="27" t="s">
        <v>38</v>
      </c>
      <c r="D134" s="27">
        <v>13.9</v>
      </c>
      <c r="E134" s="20" t="s">
        <v>38</v>
      </c>
      <c r="F134" s="16">
        <f t="shared" si="48"/>
        <v>1.2589928057554</v>
      </c>
      <c r="G134" s="21" t="s">
        <v>38</v>
      </c>
      <c r="H134" s="21" t="s">
        <v>38</v>
      </c>
      <c r="I134" s="21" t="s">
        <v>38</v>
      </c>
      <c r="J134" s="27">
        <v>37.74</v>
      </c>
      <c r="K134" s="27">
        <v>66.8</v>
      </c>
      <c r="L134" s="21">
        <f t="shared" si="44"/>
        <v>102.048038854328</v>
      </c>
      <c r="M134" s="22" t="s">
        <v>38</v>
      </c>
      <c r="N134" s="28" t="s">
        <v>38</v>
      </c>
    </row>
    <row r="135" spans="1:14">
      <c r="A135" s="23" t="s">
        <v>300</v>
      </c>
      <c r="B135" s="27">
        <v>15.3</v>
      </c>
      <c r="C135" s="27" t="s">
        <v>38</v>
      </c>
      <c r="D135" s="27">
        <v>18.9</v>
      </c>
      <c r="E135" s="20" t="s">
        <v>38</v>
      </c>
      <c r="F135" s="16">
        <f t="shared" si="48"/>
        <v>0.80952380952381</v>
      </c>
      <c r="G135" s="21" t="s">
        <v>38</v>
      </c>
      <c r="H135" s="21" t="s">
        <v>38</v>
      </c>
      <c r="I135" s="21" t="s">
        <v>38</v>
      </c>
      <c r="J135" s="27">
        <v>47.8</v>
      </c>
      <c r="K135" s="27">
        <v>104.4</v>
      </c>
      <c r="L135" s="21">
        <f t="shared" si="44"/>
        <v>165.799438556716</v>
      </c>
      <c r="M135" s="22" t="s">
        <v>38</v>
      </c>
      <c r="N135" s="28" t="s">
        <v>38</v>
      </c>
    </row>
    <row r="136" spans="1:14">
      <c r="A136" s="23" t="s">
        <v>301</v>
      </c>
      <c r="B136" s="27" t="s">
        <v>38</v>
      </c>
      <c r="C136" s="27">
        <v>11.7</v>
      </c>
      <c r="D136" s="27">
        <v>14.9</v>
      </c>
      <c r="E136" s="20" t="s">
        <v>38</v>
      </c>
      <c r="F136" s="16" t="s">
        <v>38</v>
      </c>
      <c r="G136" s="21">
        <v>43.4</v>
      </c>
      <c r="H136" s="21" t="s">
        <v>38</v>
      </c>
      <c r="I136" s="21" t="s">
        <v>38</v>
      </c>
      <c r="J136" s="27">
        <v>57.4</v>
      </c>
      <c r="K136" s="27">
        <v>110</v>
      </c>
      <c r="L136" s="21">
        <f t="shared" si="44"/>
        <v>159.40197850444</v>
      </c>
      <c r="M136" s="22" t="s">
        <v>38</v>
      </c>
      <c r="N136" s="28" t="s">
        <v>38</v>
      </c>
    </row>
    <row r="137" spans="1:14">
      <c r="A137" s="23" t="s">
        <v>302</v>
      </c>
      <c r="B137" s="27">
        <v>19.7</v>
      </c>
      <c r="C137" s="27">
        <v>15.5</v>
      </c>
      <c r="D137" s="27">
        <v>17</v>
      </c>
      <c r="E137" s="20">
        <f>B137/C137</f>
        <v>1.27096774193548</v>
      </c>
      <c r="F137" s="16">
        <f t="shared" ref="F137:F145" si="49">B137/D137</f>
        <v>1.15882352941176</v>
      </c>
      <c r="G137" s="21">
        <f>H137+I137</f>
        <v>54.4</v>
      </c>
      <c r="H137" s="21">
        <v>20.4</v>
      </c>
      <c r="I137" s="21">
        <v>34</v>
      </c>
      <c r="J137" s="27">
        <v>54.4</v>
      </c>
      <c r="K137" s="27">
        <v>108.2</v>
      </c>
      <c r="L137" s="21">
        <f t="shared" si="44"/>
        <v>164.480017850513</v>
      </c>
      <c r="M137" s="22">
        <v>6.7</v>
      </c>
      <c r="N137" s="28">
        <v>0.25</v>
      </c>
    </row>
    <row r="138" spans="1:14">
      <c r="A138" s="23" t="s">
        <v>303</v>
      </c>
      <c r="B138" s="27">
        <v>18.4</v>
      </c>
      <c r="C138" s="27" t="s">
        <v>38</v>
      </c>
      <c r="D138" s="27">
        <v>14.9</v>
      </c>
      <c r="E138" s="20" t="s">
        <v>38</v>
      </c>
      <c r="F138" s="16">
        <f t="shared" si="49"/>
        <v>1.23489932885906</v>
      </c>
      <c r="G138" s="21" t="s">
        <v>38</v>
      </c>
      <c r="H138" s="21">
        <v>23</v>
      </c>
      <c r="I138" s="21" t="s">
        <v>38</v>
      </c>
      <c r="J138" s="27">
        <v>54.8</v>
      </c>
      <c r="K138" s="27">
        <v>101.4</v>
      </c>
      <c r="L138" s="21">
        <f t="shared" si="44"/>
        <v>168.610862601432</v>
      </c>
      <c r="M138" s="22">
        <v>16</v>
      </c>
      <c r="N138" s="28" t="s">
        <v>38</v>
      </c>
    </row>
    <row r="139" spans="1:14">
      <c r="A139" s="23" t="s">
        <v>304</v>
      </c>
      <c r="B139" s="27" t="s">
        <v>38</v>
      </c>
      <c r="C139" s="27" t="s">
        <v>38</v>
      </c>
      <c r="D139" s="27" t="s">
        <v>38</v>
      </c>
      <c r="E139" s="20" t="s">
        <v>38</v>
      </c>
      <c r="F139" s="16" t="s">
        <v>38</v>
      </c>
      <c r="G139" s="21" t="s">
        <v>38</v>
      </c>
      <c r="H139" s="21" t="s">
        <v>38</v>
      </c>
      <c r="I139" s="21" t="s">
        <v>38</v>
      </c>
      <c r="J139" s="27">
        <v>47.1</v>
      </c>
      <c r="K139" s="27">
        <v>96.6</v>
      </c>
      <c r="L139" s="21">
        <f t="shared" si="44"/>
        <v>165.294944830279</v>
      </c>
      <c r="M139" s="22" t="s">
        <v>38</v>
      </c>
      <c r="N139" s="28" t="s">
        <v>38</v>
      </c>
    </row>
    <row r="140" spans="1:14">
      <c r="A140" s="23" t="s">
        <v>305</v>
      </c>
      <c r="B140" s="27">
        <v>15.4</v>
      </c>
      <c r="C140" s="27" t="s">
        <v>38</v>
      </c>
      <c r="D140" s="27">
        <v>15.6</v>
      </c>
      <c r="E140" s="20" t="s">
        <v>38</v>
      </c>
      <c r="F140" s="16">
        <f t="shared" si="49"/>
        <v>0.987179487179487</v>
      </c>
      <c r="G140" s="21" t="s">
        <v>38</v>
      </c>
      <c r="H140" s="21" t="s">
        <v>38</v>
      </c>
      <c r="I140" s="21">
        <v>34.3</v>
      </c>
      <c r="J140" s="27">
        <v>50.3</v>
      </c>
      <c r="K140" s="27">
        <v>95.2</v>
      </c>
      <c r="L140" s="21">
        <f t="shared" si="44"/>
        <v>164.287460705782</v>
      </c>
      <c r="M140" s="22">
        <v>10.7</v>
      </c>
      <c r="N140" s="28" t="s">
        <v>38</v>
      </c>
    </row>
    <row r="141" spans="1:14">
      <c r="A141" s="23" t="s">
        <v>306</v>
      </c>
      <c r="B141" s="27">
        <v>19.4</v>
      </c>
      <c r="C141" s="27">
        <v>15.5</v>
      </c>
      <c r="D141" s="27">
        <v>16</v>
      </c>
      <c r="E141" s="20">
        <f>B141/C141</f>
        <v>1.25161290322581</v>
      </c>
      <c r="F141" s="16">
        <f t="shared" si="49"/>
        <v>1.2125</v>
      </c>
      <c r="G141" s="21">
        <f>H141+I141</f>
        <v>54.6</v>
      </c>
      <c r="H141" s="21">
        <v>23</v>
      </c>
      <c r="I141" s="21">
        <v>31.6</v>
      </c>
      <c r="J141" s="27">
        <v>45.8</v>
      </c>
      <c r="K141" s="27" t="s">
        <v>38</v>
      </c>
      <c r="L141" s="21" t="s">
        <v>38</v>
      </c>
      <c r="M141" s="22" t="s">
        <v>38</v>
      </c>
      <c r="N141" s="28">
        <v>0.22</v>
      </c>
    </row>
    <row r="142" spans="1:14">
      <c r="A142" s="23" t="s">
        <v>307</v>
      </c>
      <c r="B142" s="27">
        <v>19</v>
      </c>
      <c r="C142" s="27" t="s">
        <v>38</v>
      </c>
      <c r="D142" s="27">
        <v>16.7</v>
      </c>
      <c r="E142" s="20" t="s">
        <v>38</v>
      </c>
      <c r="F142" s="16">
        <f t="shared" si="49"/>
        <v>1.1377245508982</v>
      </c>
      <c r="G142" s="21" t="s">
        <v>38</v>
      </c>
      <c r="H142" s="21" t="s">
        <v>38</v>
      </c>
      <c r="I142" s="21" t="s">
        <v>38</v>
      </c>
      <c r="J142" s="27" t="s">
        <v>38</v>
      </c>
      <c r="K142" s="27">
        <v>101.2</v>
      </c>
      <c r="L142" s="21" t="s">
        <v>38</v>
      </c>
      <c r="M142" s="22" t="s">
        <v>38</v>
      </c>
      <c r="N142" s="28" t="s">
        <v>38</v>
      </c>
    </row>
    <row r="143" spans="1:14">
      <c r="A143" s="23" t="s">
        <v>308</v>
      </c>
      <c r="B143" s="27">
        <v>19</v>
      </c>
      <c r="C143" s="27" t="s">
        <v>38</v>
      </c>
      <c r="D143" s="27">
        <v>19</v>
      </c>
      <c r="E143" s="20" t="s">
        <v>38</v>
      </c>
      <c r="F143" s="16">
        <f t="shared" si="49"/>
        <v>1</v>
      </c>
      <c r="G143" s="21" t="s">
        <v>38</v>
      </c>
      <c r="H143" s="21" t="s">
        <v>38</v>
      </c>
      <c r="I143" s="21" t="s">
        <v>38</v>
      </c>
      <c r="J143" s="27">
        <v>55.4</v>
      </c>
      <c r="K143" s="27">
        <v>110.2</v>
      </c>
      <c r="L143" s="21">
        <f t="shared" ref="L143:L152" si="50">DEGREES(ACOS((J144^2+J143^2-K143^2)/(2*J143*J144)))</f>
        <v>168.996615401826</v>
      </c>
      <c r="M143" s="22">
        <v>4.25</v>
      </c>
      <c r="N143" s="28" t="s">
        <v>38</v>
      </c>
    </row>
    <row r="144" spans="1:14">
      <c r="A144" s="23" t="s">
        <v>309</v>
      </c>
      <c r="B144" s="27">
        <v>19</v>
      </c>
      <c r="C144" s="27" t="s">
        <v>38</v>
      </c>
      <c r="D144" s="27">
        <v>16.8</v>
      </c>
      <c r="E144" s="20" t="s">
        <v>38</v>
      </c>
      <c r="F144" s="16">
        <f t="shared" si="49"/>
        <v>1.13095238095238</v>
      </c>
      <c r="G144" s="21" t="s">
        <v>38</v>
      </c>
      <c r="H144" s="21" t="s">
        <v>38</v>
      </c>
      <c r="I144" s="21" t="s">
        <v>38</v>
      </c>
      <c r="J144" s="27">
        <v>55.31</v>
      </c>
      <c r="K144" s="27">
        <v>112.7</v>
      </c>
      <c r="L144" s="21">
        <f t="shared" si="50"/>
        <v>178.4732627734</v>
      </c>
      <c r="M144" s="22">
        <v>16.6</v>
      </c>
      <c r="N144" s="28" t="s">
        <v>38</v>
      </c>
    </row>
    <row r="145" spans="1:14">
      <c r="A145" s="23" t="s">
        <v>310</v>
      </c>
      <c r="B145" s="27">
        <v>21.4</v>
      </c>
      <c r="C145" s="27" t="s">
        <v>38</v>
      </c>
      <c r="D145" s="27">
        <v>17.6</v>
      </c>
      <c r="E145" s="20" t="s">
        <v>38</v>
      </c>
      <c r="F145" s="16">
        <f t="shared" si="49"/>
        <v>1.21590909090909</v>
      </c>
      <c r="G145" s="21" t="s">
        <v>38</v>
      </c>
      <c r="H145" s="21" t="s">
        <v>38</v>
      </c>
      <c r="I145" s="21" t="s">
        <v>38</v>
      </c>
      <c r="J145" s="27">
        <v>57.4</v>
      </c>
      <c r="K145" s="27">
        <v>108.6</v>
      </c>
      <c r="L145" s="21">
        <f t="shared" si="50"/>
        <v>169.009900710594</v>
      </c>
      <c r="M145" s="22" t="s">
        <v>38</v>
      </c>
      <c r="N145" s="28" t="s">
        <v>38</v>
      </c>
    </row>
    <row r="146" spans="1:14">
      <c r="A146" s="23" t="s">
        <v>311</v>
      </c>
      <c r="B146" s="27" t="s">
        <v>38</v>
      </c>
      <c r="C146" s="27" t="s">
        <v>38</v>
      </c>
      <c r="D146" s="27" t="s">
        <v>38</v>
      </c>
      <c r="E146" s="20" t="s">
        <v>38</v>
      </c>
      <c r="F146" s="16" t="s">
        <v>38</v>
      </c>
      <c r="G146" s="21" t="s">
        <v>38</v>
      </c>
      <c r="H146" s="21" t="s">
        <v>38</v>
      </c>
      <c r="I146" s="21" t="s">
        <v>38</v>
      </c>
      <c r="J146" s="27">
        <v>51.7</v>
      </c>
      <c r="K146" s="27">
        <v>87.6</v>
      </c>
      <c r="L146" s="21">
        <f t="shared" si="50"/>
        <v>148.273364319178</v>
      </c>
      <c r="M146" s="22" t="s">
        <v>38</v>
      </c>
      <c r="N146" s="28" t="s">
        <v>38</v>
      </c>
    </row>
    <row r="147" spans="1:14">
      <c r="A147" s="23" t="s">
        <v>312</v>
      </c>
      <c r="B147" s="27">
        <v>19.1</v>
      </c>
      <c r="C147" s="27">
        <v>17.8</v>
      </c>
      <c r="D147" s="27">
        <v>22.7</v>
      </c>
      <c r="E147" s="20">
        <f>B147/C147</f>
        <v>1.07303370786517</v>
      </c>
      <c r="F147" s="16">
        <f t="shared" ref="F147:F151" si="51">B147/D147</f>
        <v>0.841409691629956</v>
      </c>
      <c r="G147" s="21">
        <f>H147+I147</f>
        <v>64.8</v>
      </c>
      <c r="H147" s="21">
        <v>25.3</v>
      </c>
      <c r="I147" s="21">
        <v>39.5</v>
      </c>
      <c r="J147" s="27">
        <v>39.3</v>
      </c>
      <c r="K147" s="27">
        <v>81.7</v>
      </c>
      <c r="L147" s="21">
        <f t="shared" si="50"/>
        <v>137.123701341089</v>
      </c>
      <c r="M147" s="22">
        <v>12.56</v>
      </c>
      <c r="N147" s="28">
        <v>0.22</v>
      </c>
    </row>
    <row r="148" spans="1:14">
      <c r="A148" s="23" t="s">
        <v>313</v>
      </c>
      <c r="B148" s="27">
        <v>14.6</v>
      </c>
      <c r="C148" s="27" t="s">
        <v>38</v>
      </c>
      <c r="D148" s="27">
        <v>21.2</v>
      </c>
      <c r="E148" s="20" t="s">
        <v>38</v>
      </c>
      <c r="F148" s="16">
        <f t="shared" si="51"/>
        <v>0.688679245283019</v>
      </c>
      <c r="G148" s="21" t="s">
        <v>38</v>
      </c>
      <c r="H148" s="21" t="s">
        <v>38</v>
      </c>
      <c r="I148" s="21" t="s">
        <v>38</v>
      </c>
      <c r="J148" s="27">
        <v>48.4</v>
      </c>
      <c r="K148" s="27">
        <v>87.95</v>
      </c>
      <c r="L148" s="21">
        <f t="shared" si="50"/>
        <v>150.663011544796</v>
      </c>
      <c r="M148" s="22">
        <v>20.05</v>
      </c>
      <c r="N148" s="28" t="s">
        <v>38</v>
      </c>
    </row>
    <row r="149" spans="1:14">
      <c r="A149" s="23" t="s">
        <v>314</v>
      </c>
      <c r="B149" s="27">
        <v>15.8</v>
      </c>
      <c r="C149" s="27" t="s">
        <v>38</v>
      </c>
      <c r="D149" s="27">
        <v>20.3</v>
      </c>
      <c r="E149" s="20" t="s">
        <v>38</v>
      </c>
      <c r="F149" s="16">
        <f t="shared" si="51"/>
        <v>0.778325123152709</v>
      </c>
      <c r="G149" s="21" t="s">
        <v>38</v>
      </c>
      <c r="H149" s="21" t="s">
        <v>38</v>
      </c>
      <c r="I149" s="21" t="s">
        <v>38</v>
      </c>
      <c r="J149" s="27">
        <v>42.5</v>
      </c>
      <c r="K149" s="27">
        <v>89.6</v>
      </c>
      <c r="L149" s="21">
        <f t="shared" si="50"/>
        <v>154.791723879883</v>
      </c>
      <c r="M149" s="22" t="s">
        <v>38</v>
      </c>
      <c r="N149" s="28" t="s">
        <v>38</v>
      </c>
    </row>
    <row r="150" spans="1:14">
      <c r="A150" s="23" t="s">
        <v>315</v>
      </c>
      <c r="B150" s="27">
        <v>16.8</v>
      </c>
      <c r="C150" s="27" t="s">
        <v>38</v>
      </c>
      <c r="D150" s="27">
        <v>20.6</v>
      </c>
      <c r="E150" s="20" t="s">
        <v>38</v>
      </c>
      <c r="F150" s="16">
        <f t="shared" si="51"/>
        <v>0.815533980582524</v>
      </c>
      <c r="G150" s="21" t="s">
        <v>38</v>
      </c>
      <c r="H150" s="21" t="s">
        <v>38</v>
      </c>
      <c r="I150" s="21" t="s">
        <v>38</v>
      </c>
      <c r="J150" s="27">
        <v>49.3</v>
      </c>
      <c r="K150" s="27">
        <v>97.3</v>
      </c>
      <c r="L150" s="21">
        <f t="shared" si="50"/>
        <v>162.849660114251</v>
      </c>
      <c r="M150" s="22" t="s">
        <v>38</v>
      </c>
      <c r="N150" s="28" t="s">
        <v>38</v>
      </c>
    </row>
    <row r="151" spans="1:14">
      <c r="A151" s="23" t="s">
        <v>316</v>
      </c>
      <c r="B151" s="27">
        <v>17</v>
      </c>
      <c r="C151" s="27">
        <v>16.3</v>
      </c>
      <c r="D151" s="27">
        <v>19.1</v>
      </c>
      <c r="E151" s="20">
        <f>B151/C151</f>
        <v>1.04294478527607</v>
      </c>
      <c r="F151" s="16">
        <f t="shared" si="51"/>
        <v>0.890052356020942</v>
      </c>
      <c r="G151" s="21">
        <f>H151+I151</f>
        <v>63.8</v>
      </c>
      <c r="H151" s="21">
        <v>28.6</v>
      </c>
      <c r="I151" s="21">
        <v>35.2</v>
      </c>
      <c r="J151" s="27">
        <v>49.1</v>
      </c>
      <c r="K151" s="27">
        <v>98.1</v>
      </c>
      <c r="L151" s="21">
        <f t="shared" si="50"/>
        <v>159.44051419758</v>
      </c>
      <c r="M151" s="22">
        <v>8</v>
      </c>
      <c r="N151" s="28">
        <v>0.2</v>
      </c>
    </row>
    <row r="152" spans="1:14">
      <c r="A152" s="23" t="s">
        <v>317</v>
      </c>
      <c r="B152" s="27">
        <v>20.4</v>
      </c>
      <c r="C152" s="27" t="s">
        <v>38</v>
      </c>
      <c r="D152" s="27" t="s">
        <v>38</v>
      </c>
      <c r="E152" s="20" t="s">
        <v>38</v>
      </c>
      <c r="F152" s="16" t="s">
        <v>38</v>
      </c>
      <c r="G152" s="21" t="s">
        <v>38</v>
      </c>
      <c r="H152" s="21" t="s">
        <v>38</v>
      </c>
      <c r="I152" s="21">
        <v>20</v>
      </c>
      <c r="J152" s="27">
        <v>50.6</v>
      </c>
      <c r="K152" s="27">
        <v>102.99</v>
      </c>
      <c r="L152" s="21">
        <f t="shared" si="50"/>
        <v>158.65910112045</v>
      </c>
      <c r="M152" s="34">
        <v>-8.46</v>
      </c>
      <c r="N152" s="28" t="s">
        <v>38</v>
      </c>
    </row>
    <row r="153" spans="1:14">
      <c r="A153" s="23" t="s">
        <v>318</v>
      </c>
      <c r="B153" s="27">
        <v>18.3</v>
      </c>
      <c r="C153" s="27" t="s">
        <v>38</v>
      </c>
      <c r="D153" s="27">
        <v>18.7</v>
      </c>
      <c r="E153" s="20" t="s">
        <v>38</v>
      </c>
      <c r="F153" s="16">
        <f t="shared" ref="F153:F159" si="52">B153/D153</f>
        <v>0.978609625668449</v>
      </c>
      <c r="G153" s="21" t="s">
        <v>38</v>
      </c>
      <c r="H153" s="21" t="s">
        <v>38</v>
      </c>
      <c r="I153" s="21">
        <v>35.1</v>
      </c>
      <c r="J153" s="27">
        <v>54.2</v>
      </c>
      <c r="K153" s="27" t="s">
        <v>38</v>
      </c>
      <c r="L153" s="21" t="s">
        <v>38</v>
      </c>
      <c r="M153" s="22" t="s">
        <v>38</v>
      </c>
      <c r="N153" s="28" t="s">
        <v>38</v>
      </c>
    </row>
    <row r="154" spans="1:14">
      <c r="A154" s="23" t="s">
        <v>319</v>
      </c>
      <c r="B154" s="27" t="s">
        <v>38</v>
      </c>
      <c r="C154" s="27">
        <v>16.5</v>
      </c>
      <c r="D154" s="27">
        <v>18.5</v>
      </c>
      <c r="E154" s="20" t="s">
        <v>38</v>
      </c>
      <c r="F154" s="16" t="s">
        <v>38</v>
      </c>
      <c r="G154" s="21">
        <v>48.3</v>
      </c>
      <c r="H154" s="21" t="s">
        <v>38</v>
      </c>
      <c r="I154" s="21" t="s">
        <v>38</v>
      </c>
      <c r="J154" s="27" t="s">
        <v>38</v>
      </c>
      <c r="K154" s="27" t="s">
        <v>38</v>
      </c>
      <c r="L154" s="21" t="s">
        <v>38</v>
      </c>
      <c r="M154" s="22" t="s">
        <v>38</v>
      </c>
      <c r="N154" s="28" t="s">
        <v>38</v>
      </c>
    </row>
    <row r="155" spans="1:14">
      <c r="A155" s="4" t="s">
        <v>108</v>
      </c>
      <c r="B155" s="20">
        <f t="shared" ref="B155:L155" si="53">AVERAGE(B112:B154)</f>
        <v>18.2736842105263</v>
      </c>
      <c r="C155" s="20">
        <f t="shared" si="53"/>
        <v>15.1230769230769</v>
      </c>
      <c r="D155" s="20">
        <f t="shared" si="53"/>
        <v>17.5684210526316</v>
      </c>
      <c r="E155" s="20">
        <f t="shared" si="53"/>
        <v>1.21078368266066</v>
      </c>
      <c r="F155" s="16">
        <f t="shared" si="53"/>
        <v>1.05098937831259</v>
      </c>
      <c r="G155" s="21">
        <f t="shared" si="53"/>
        <v>54.94</v>
      </c>
      <c r="H155" s="21">
        <f t="shared" si="53"/>
        <v>23.8625</v>
      </c>
      <c r="I155" s="21">
        <f t="shared" si="53"/>
        <v>32.2</v>
      </c>
      <c r="J155" s="20">
        <f t="shared" si="53"/>
        <v>52.2609756097561</v>
      </c>
      <c r="K155" s="20">
        <f t="shared" si="53"/>
        <v>102.32575</v>
      </c>
      <c r="L155" s="21">
        <f t="shared" si="53"/>
        <v>160.976838961237</v>
      </c>
      <c r="M155" s="34" t="s">
        <v>241</v>
      </c>
      <c r="N155" s="29">
        <f>AVERAGE(N112:N154)</f>
        <v>0.235</v>
      </c>
    </row>
    <row r="157" spans="1:14">
      <c r="A157" s="23" t="s">
        <v>320</v>
      </c>
      <c r="B157" s="27">
        <v>43.4</v>
      </c>
      <c r="C157" s="27" t="s">
        <v>38</v>
      </c>
      <c r="D157" s="16">
        <v>45.8</v>
      </c>
      <c r="E157" s="20" t="s">
        <v>38</v>
      </c>
      <c r="F157" s="16">
        <f t="shared" si="52"/>
        <v>0.947598253275109</v>
      </c>
      <c r="G157" s="7" t="s">
        <v>38</v>
      </c>
      <c r="H157" s="7" t="s">
        <v>38</v>
      </c>
      <c r="I157" s="22" t="s">
        <v>38</v>
      </c>
      <c r="J157" s="27">
        <v>105</v>
      </c>
      <c r="K157" s="27">
        <v>215.5</v>
      </c>
      <c r="L157" s="21">
        <f t="shared" ref="L157:L170" si="54">DEGREES(ACOS((J157^2+J158^2-K157^2)/(2*J157*J158)))</f>
        <v>164.438684710913</v>
      </c>
      <c r="M157" s="22" t="s">
        <v>38</v>
      </c>
      <c r="N157" s="28" t="s">
        <v>38</v>
      </c>
    </row>
    <row r="158" spans="1:14">
      <c r="A158" s="23" t="s">
        <v>321</v>
      </c>
      <c r="B158" s="27">
        <v>43.9</v>
      </c>
      <c r="C158" s="27" t="s">
        <v>38</v>
      </c>
      <c r="D158" s="16">
        <v>36.18</v>
      </c>
      <c r="E158" s="20" t="s">
        <v>38</v>
      </c>
      <c r="F158" s="16">
        <f t="shared" si="52"/>
        <v>1.21337755666114</v>
      </c>
      <c r="G158" s="7" t="s">
        <v>38</v>
      </c>
      <c r="H158" s="7" t="s">
        <v>38</v>
      </c>
      <c r="I158" s="22" t="s">
        <v>38</v>
      </c>
      <c r="J158" s="27">
        <v>112.5</v>
      </c>
      <c r="K158" s="27">
        <v>214</v>
      </c>
      <c r="L158" s="21">
        <f t="shared" si="54"/>
        <v>166.458516907835</v>
      </c>
      <c r="M158" s="22" t="s">
        <v>38</v>
      </c>
      <c r="N158" s="28" t="s">
        <v>38</v>
      </c>
    </row>
    <row r="159" spans="1:14">
      <c r="A159" s="23" t="s">
        <v>322</v>
      </c>
      <c r="B159" s="27">
        <v>38.5</v>
      </c>
      <c r="C159" s="27" t="s">
        <v>38</v>
      </c>
      <c r="D159" s="16">
        <v>35.96</v>
      </c>
      <c r="E159" s="20" t="s">
        <v>38</v>
      </c>
      <c r="F159" s="16">
        <f t="shared" si="52"/>
        <v>1.0706340378198</v>
      </c>
      <c r="G159" s="7" t="s">
        <v>38</v>
      </c>
      <c r="H159" s="7" t="s">
        <v>38</v>
      </c>
      <c r="I159" s="22" t="s">
        <v>38</v>
      </c>
      <c r="J159" s="27">
        <v>103</v>
      </c>
      <c r="K159" s="27">
        <v>200.5</v>
      </c>
      <c r="L159" s="21">
        <f t="shared" si="54"/>
        <v>158.741600240758</v>
      </c>
      <c r="M159" s="22" t="s">
        <v>38</v>
      </c>
      <c r="N159" s="28" t="s">
        <v>38</v>
      </c>
    </row>
    <row r="160" spans="1:14">
      <c r="A160" s="23" t="s">
        <v>323</v>
      </c>
      <c r="B160" s="27">
        <v>36.2</v>
      </c>
      <c r="C160" s="27" t="s">
        <v>38</v>
      </c>
      <c r="D160" s="16"/>
      <c r="E160" s="20" t="s">
        <v>38</v>
      </c>
      <c r="F160" s="16" t="s">
        <v>38</v>
      </c>
      <c r="G160" s="7" t="s">
        <v>38</v>
      </c>
      <c r="H160" s="7" t="s">
        <v>38</v>
      </c>
      <c r="I160" s="22" t="s">
        <v>38</v>
      </c>
      <c r="J160" s="27">
        <v>101</v>
      </c>
      <c r="K160" s="27">
        <v>192.2</v>
      </c>
      <c r="L160" s="21">
        <f t="shared" si="54"/>
        <v>169.551399600676</v>
      </c>
      <c r="M160" s="22" t="s">
        <v>38</v>
      </c>
      <c r="N160" s="28" t="s">
        <v>38</v>
      </c>
    </row>
    <row r="161" spans="1:14">
      <c r="A161" s="23" t="s">
        <v>324</v>
      </c>
      <c r="B161" s="27">
        <v>36.3</v>
      </c>
      <c r="C161" s="27" t="s">
        <v>38</v>
      </c>
      <c r="D161" s="16">
        <v>36.07</v>
      </c>
      <c r="E161" s="20" t="s">
        <v>38</v>
      </c>
      <c r="F161" s="16">
        <f t="shared" ref="F161:F167" si="55">B161/D161</f>
        <v>1.00637649015803</v>
      </c>
      <c r="G161" s="7" t="s">
        <v>38</v>
      </c>
      <c r="H161" s="7" t="s">
        <v>38</v>
      </c>
      <c r="I161" s="22" t="s">
        <v>38</v>
      </c>
      <c r="J161" s="27">
        <v>92</v>
      </c>
      <c r="K161" s="27">
        <v>202.5</v>
      </c>
      <c r="L161" s="21">
        <f t="shared" si="54"/>
        <v>171.920070187345</v>
      </c>
      <c r="M161" s="22" t="s">
        <v>38</v>
      </c>
      <c r="N161" s="28" t="s">
        <v>38</v>
      </c>
    </row>
    <row r="162" spans="1:14">
      <c r="A162" s="23" t="s">
        <v>325</v>
      </c>
      <c r="B162" s="27">
        <v>36.9</v>
      </c>
      <c r="C162" s="27" t="s">
        <v>38</v>
      </c>
      <c r="D162" s="16">
        <v>29.39</v>
      </c>
      <c r="E162" s="20" t="s">
        <v>38</v>
      </c>
      <c r="F162" s="16">
        <f t="shared" si="55"/>
        <v>1.25552909152773</v>
      </c>
      <c r="G162" s="7" t="s">
        <v>38</v>
      </c>
      <c r="H162" s="7" t="s">
        <v>38</v>
      </c>
      <c r="I162" s="22" t="s">
        <v>38</v>
      </c>
      <c r="J162" s="27">
        <v>111</v>
      </c>
      <c r="K162" s="27">
        <v>223</v>
      </c>
      <c r="L162" s="21">
        <f t="shared" si="54"/>
        <v>159.824931964658</v>
      </c>
      <c r="M162" s="22">
        <v>-3</v>
      </c>
      <c r="N162" s="28" t="s">
        <v>38</v>
      </c>
    </row>
    <row r="163" spans="1:14">
      <c r="A163" s="23" t="s">
        <v>326</v>
      </c>
      <c r="B163" s="27">
        <v>37.4</v>
      </c>
      <c r="C163" s="27" t="s">
        <v>38</v>
      </c>
      <c r="D163" s="16">
        <v>26.83</v>
      </c>
      <c r="E163" s="20" t="s">
        <v>38</v>
      </c>
      <c r="F163" s="16">
        <f t="shared" si="55"/>
        <v>1.39396198285501</v>
      </c>
      <c r="G163" s="7" t="s">
        <v>38</v>
      </c>
      <c r="H163" s="7" t="s">
        <v>38</v>
      </c>
      <c r="I163" s="22" t="s">
        <v>38</v>
      </c>
      <c r="J163" s="27">
        <v>115.5</v>
      </c>
      <c r="K163" s="27">
        <v>229</v>
      </c>
      <c r="L163" s="21">
        <f t="shared" si="54"/>
        <v>155.12980400801</v>
      </c>
      <c r="M163" s="22" t="s">
        <v>38</v>
      </c>
      <c r="N163" s="28" t="s">
        <v>38</v>
      </c>
    </row>
    <row r="164" spans="1:14">
      <c r="A164" s="23" t="s">
        <v>327</v>
      </c>
      <c r="B164" s="27">
        <v>47.3</v>
      </c>
      <c r="C164" s="27" t="s">
        <v>38</v>
      </c>
      <c r="D164" s="16">
        <v>32.62</v>
      </c>
      <c r="E164" s="20" t="s">
        <v>38</v>
      </c>
      <c r="F164" s="16">
        <f t="shared" si="55"/>
        <v>1.45003065603924</v>
      </c>
      <c r="G164" s="7" t="s">
        <v>38</v>
      </c>
      <c r="H164" s="7" t="s">
        <v>38</v>
      </c>
      <c r="I164" s="22" t="s">
        <v>38</v>
      </c>
      <c r="J164" s="27">
        <v>119</v>
      </c>
      <c r="K164" s="27">
        <v>223.2</v>
      </c>
      <c r="L164" s="21">
        <f t="shared" si="54"/>
        <v>152.048686581597</v>
      </c>
      <c r="M164" s="22" t="s">
        <v>38</v>
      </c>
      <c r="N164" s="28" t="s">
        <v>38</v>
      </c>
    </row>
    <row r="165" spans="1:14">
      <c r="A165" s="23" t="s">
        <v>328</v>
      </c>
      <c r="B165" s="27">
        <v>43.4</v>
      </c>
      <c r="C165" s="27" t="s">
        <v>38</v>
      </c>
      <c r="D165" s="16">
        <v>34.8</v>
      </c>
      <c r="E165" s="20" t="s">
        <v>38</v>
      </c>
      <c r="F165" s="16">
        <f t="shared" si="55"/>
        <v>1.24712643678161</v>
      </c>
      <c r="G165" s="7" t="s">
        <v>38</v>
      </c>
      <c r="H165" s="7" t="s">
        <v>38</v>
      </c>
      <c r="I165" s="22" t="s">
        <v>38</v>
      </c>
      <c r="J165" s="27">
        <v>111</v>
      </c>
      <c r="K165" s="27">
        <v>221</v>
      </c>
      <c r="L165" s="21">
        <f t="shared" si="54"/>
        <v>152.533549529139</v>
      </c>
      <c r="M165" s="22" t="s">
        <v>38</v>
      </c>
      <c r="N165" s="28" t="s">
        <v>38</v>
      </c>
    </row>
    <row r="166" spans="1:14">
      <c r="A166" s="23" t="s">
        <v>329</v>
      </c>
      <c r="B166" s="27">
        <v>49.5</v>
      </c>
      <c r="C166" s="27" t="s">
        <v>38</v>
      </c>
      <c r="D166" s="16">
        <v>33.16</v>
      </c>
      <c r="E166" s="20" t="s">
        <v>38</v>
      </c>
      <c r="F166" s="16">
        <f t="shared" si="55"/>
        <v>1.49276236429433</v>
      </c>
      <c r="G166" s="7" t="s">
        <v>38</v>
      </c>
      <c r="H166" s="7" t="s">
        <v>38</v>
      </c>
      <c r="I166" s="22" t="s">
        <v>38</v>
      </c>
      <c r="J166" s="27">
        <v>116.5</v>
      </c>
      <c r="K166" s="27">
        <v>252.8</v>
      </c>
      <c r="L166" s="21">
        <f t="shared" si="54"/>
        <v>157.287695123256</v>
      </c>
      <c r="M166" s="22" t="s">
        <v>38</v>
      </c>
      <c r="N166" s="28" t="s">
        <v>38</v>
      </c>
    </row>
    <row r="167" spans="1:14">
      <c r="A167" s="23" t="s">
        <v>330</v>
      </c>
      <c r="B167" s="27">
        <v>50.5</v>
      </c>
      <c r="C167" s="27" t="s">
        <v>38</v>
      </c>
      <c r="D167" s="16">
        <v>31.76</v>
      </c>
      <c r="E167" s="20" t="s">
        <v>38</v>
      </c>
      <c r="F167" s="16">
        <f t="shared" si="55"/>
        <v>1.59005037783375</v>
      </c>
      <c r="G167" s="7" t="s">
        <v>38</v>
      </c>
      <c r="H167" s="7" t="s">
        <v>38</v>
      </c>
      <c r="I167" s="22" t="s">
        <v>38</v>
      </c>
      <c r="J167" s="27">
        <v>141.3</v>
      </c>
      <c r="K167" s="27">
        <v>257.5</v>
      </c>
      <c r="L167" s="21">
        <f t="shared" si="54"/>
        <v>161.68675032679</v>
      </c>
      <c r="M167" s="22" t="s">
        <v>38</v>
      </c>
      <c r="N167" s="28" t="s">
        <v>38</v>
      </c>
    </row>
    <row r="168" spans="1:14">
      <c r="A168" s="23" t="s">
        <v>331</v>
      </c>
      <c r="B168" s="27" t="s">
        <v>38</v>
      </c>
      <c r="C168" s="27" t="s">
        <v>38</v>
      </c>
      <c r="D168" s="16" t="s">
        <v>38</v>
      </c>
      <c r="E168" s="20" t="s">
        <v>38</v>
      </c>
      <c r="F168" s="16" t="s">
        <v>38</v>
      </c>
      <c r="G168" s="7" t="s">
        <v>38</v>
      </c>
      <c r="H168" s="7" t="s">
        <v>38</v>
      </c>
      <c r="I168" s="22" t="s">
        <v>38</v>
      </c>
      <c r="J168" s="27">
        <v>119.5</v>
      </c>
      <c r="K168" s="27">
        <v>220</v>
      </c>
      <c r="L168" s="21">
        <f t="shared" si="54"/>
        <v>156.719482862671</v>
      </c>
      <c r="M168" s="22" t="s">
        <v>38</v>
      </c>
      <c r="N168" s="28" t="s">
        <v>38</v>
      </c>
    </row>
    <row r="169" spans="1:14">
      <c r="A169" s="23" t="s">
        <v>332</v>
      </c>
      <c r="B169" s="27">
        <v>51</v>
      </c>
      <c r="C169" s="27" t="s">
        <v>38</v>
      </c>
      <c r="D169" s="16">
        <v>28.31</v>
      </c>
      <c r="E169" s="20" t="s">
        <v>38</v>
      </c>
      <c r="F169" s="16">
        <f t="shared" ref="F169:F172" si="56">B169/D169</f>
        <v>1.80148357470858</v>
      </c>
      <c r="G169" s="7" t="s">
        <v>38</v>
      </c>
      <c r="H169" s="7" t="s">
        <v>38</v>
      </c>
      <c r="I169" s="22" t="s">
        <v>38</v>
      </c>
      <c r="J169" s="27">
        <v>105.1</v>
      </c>
      <c r="K169" s="27">
        <v>227.5</v>
      </c>
      <c r="L169" s="21">
        <f t="shared" si="54"/>
        <v>167.737967655352</v>
      </c>
      <c r="M169" s="22" t="s">
        <v>38</v>
      </c>
      <c r="N169" s="28" t="s">
        <v>38</v>
      </c>
    </row>
    <row r="170" spans="1:14">
      <c r="A170" s="23" t="s">
        <v>333</v>
      </c>
      <c r="B170" s="27">
        <v>43.6</v>
      </c>
      <c r="C170" s="27" t="s">
        <v>38</v>
      </c>
      <c r="D170" s="16">
        <v>32.21</v>
      </c>
      <c r="E170" s="20" t="s">
        <v>38</v>
      </c>
      <c r="F170" s="16">
        <f t="shared" si="56"/>
        <v>1.35361688916486</v>
      </c>
      <c r="G170" s="7" t="s">
        <v>38</v>
      </c>
      <c r="H170" s="7" t="s">
        <v>38</v>
      </c>
      <c r="I170" s="22" t="s">
        <v>38</v>
      </c>
      <c r="J170" s="27">
        <v>123.7</v>
      </c>
      <c r="K170" s="27">
        <v>218.5</v>
      </c>
      <c r="L170" s="21">
        <f t="shared" si="54"/>
        <v>147.017744401749</v>
      </c>
      <c r="M170" s="22" t="s">
        <v>38</v>
      </c>
      <c r="N170" s="28" t="s">
        <v>38</v>
      </c>
    </row>
    <row r="171" spans="1:14">
      <c r="A171" s="23" t="s">
        <v>334</v>
      </c>
      <c r="B171" s="27">
        <v>56.9</v>
      </c>
      <c r="C171" s="27" t="s">
        <v>38</v>
      </c>
      <c r="D171" s="16">
        <v>29.51</v>
      </c>
      <c r="E171" s="20" t="s">
        <v>38</v>
      </c>
      <c r="F171" s="16">
        <f t="shared" si="56"/>
        <v>1.92815994578109</v>
      </c>
      <c r="G171" s="7" t="s">
        <v>38</v>
      </c>
      <c r="H171" s="7" t="s">
        <v>38</v>
      </c>
      <c r="I171" s="22" t="s">
        <v>38</v>
      </c>
      <c r="J171" s="27">
        <v>104.1</v>
      </c>
      <c r="K171" s="27" t="s">
        <v>38</v>
      </c>
      <c r="L171" s="21" t="s">
        <v>38</v>
      </c>
      <c r="M171" s="22" t="s">
        <v>38</v>
      </c>
      <c r="N171" s="28" t="s">
        <v>38</v>
      </c>
    </row>
    <row r="172" spans="1:14">
      <c r="A172" s="23" t="s">
        <v>335</v>
      </c>
      <c r="B172" s="27">
        <v>53.3</v>
      </c>
      <c r="C172" s="27" t="s">
        <v>38</v>
      </c>
      <c r="D172" s="16">
        <v>33.6</v>
      </c>
      <c r="E172" s="20" t="s">
        <v>38</v>
      </c>
      <c r="F172" s="16">
        <f t="shared" si="56"/>
        <v>1.58630952380952</v>
      </c>
      <c r="G172" s="7" t="s">
        <v>38</v>
      </c>
      <c r="H172" s="7" t="s">
        <v>38</v>
      </c>
      <c r="I172" s="22" t="s">
        <v>38</v>
      </c>
      <c r="J172" s="27" t="s">
        <v>38</v>
      </c>
      <c r="K172" s="27" t="s">
        <v>38</v>
      </c>
      <c r="L172" s="21" t="s">
        <v>38</v>
      </c>
      <c r="M172" s="22" t="s">
        <v>38</v>
      </c>
      <c r="N172" s="28" t="s">
        <v>38</v>
      </c>
    </row>
    <row r="173" spans="1:14">
      <c r="A173" s="23" t="s">
        <v>108</v>
      </c>
      <c r="B173" s="27">
        <f t="shared" ref="B173:F173" si="57">AVERAGE(B157:B172)</f>
        <v>44.54</v>
      </c>
      <c r="C173" s="27" t="s">
        <v>38</v>
      </c>
      <c r="D173" s="16">
        <f t="shared" si="57"/>
        <v>33.3</v>
      </c>
      <c r="E173" s="20" t="s">
        <v>38</v>
      </c>
      <c r="F173" s="16">
        <f t="shared" si="57"/>
        <v>1.38121551290784</v>
      </c>
      <c r="G173" s="7" t="s">
        <v>38</v>
      </c>
      <c r="H173" s="7" t="s">
        <v>38</v>
      </c>
      <c r="I173" s="22" t="s">
        <v>38</v>
      </c>
      <c r="J173" s="27">
        <f>AVERAGE(J157:J172)</f>
        <v>112.013333333333</v>
      </c>
      <c r="K173" s="27">
        <f>AVERAGE(K157:K172)</f>
        <v>221.228571428571</v>
      </c>
      <c r="L173" s="21">
        <f>AVERAGE(L157:L171)</f>
        <v>160.078348864339</v>
      </c>
      <c r="M173" s="22" t="s">
        <v>336</v>
      </c>
      <c r="N173" s="28" t="s">
        <v>38</v>
      </c>
    </row>
    <row r="174" spans="2:13">
      <c r="B174" s="3" t="s">
        <v>0</v>
      </c>
      <c r="C174" s="3" t="s">
        <v>143</v>
      </c>
      <c r="D174" s="4"/>
      <c r="E174" s="4"/>
      <c r="F174" s="4"/>
      <c r="G174" s="4"/>
      <c r="H174" s="4"/>
      <c r="I174" s="4"/>
      <c r="J174" s="4"/>
      <c r="K174" s="4"/>
      <c r="L174" s="4"/>
      <c r="M174" s="3" t="s">
        <v>144</v>
      </c>
    </row>
    <row r="175" s="2" customFormat="1" spans="1:13">
      <c r="A175" s="2" t="s">
        <v>337</v>
      </c>
      <c r="B175" s="8">
        <v>13</v>
      </c>
      <c r="C175" s="8">
        <v>7.88</v>
      </c>
      <c r="D175" s="2"/>
      <c r="E175" s="2"/>
      <c r="F175" s="2"/>
      <c r="G175" s="2"/>
      <c r="H175" s="2"/>
      <c r="I175" s="2"/>
      <c r="J175" s="2"/>
      <c r="K175" s="2"/>
      <c r="L175" s="2"/>
      <c r="M175" s="8">
        <f>B175/C175</f>
        <v>1.6497461928934</v>
      </c>
    </row>
    <row r="177" spans="1:14">
      <c r="A177" s="2" t="s">
        <v>338</v>
      </c>
      <c r="B177" s="7">
        <v>11</v>
      </c>
      <c r="C177" s="7" t="s">
        <v>38</v>
      </c>
      <c r="D177" s="8">
        <v>8.62</v>
      </c>
      <c r="E177" s="7" t="s">
        <v>38</v>
      </c>
      <c r="F177" s="8">
        <f t="shared" ref="F177:F180" si="58">B177/D177</f>
        <v>1.27610208816705</v>
      </c>
      <c r="G177" s="9" t="s">
        <v>38</v>
      </c>
      <c r="H177" s="9" t="s">
        <v>38</v>
      </c>
      <c r="I177" s="9" t="s">
        <v>38</v>
      </c>
      <c r="J177" s="7">
        <v>61.6</v>
      </c>
      <c r="K177" s="7">
        <v>113.2</v>
      </c>
      <c r="L177" s="9">
        <f>DEGREES(ACOS((J177^2+J178^2-K177^2)/(2*J177*J178)))</f>
        <v>161.395741143298</v>
      </c>
      <c r="M177" s="13" t="s">
        <v>38</v>
      </c>
      <c r="N177" s="12" t="s">
        <v>38</v>
      </c>
    </row>
    <row r="178" spans="1:14">
      <c r="A178" s="2" t="s">
        <v>339</v>
      </c>
      <c r="B178" s="7">
        <v>9.56</v>
      </c>
      <c r="C178" s="7" t="s">
        <v>38</v>
      </c>
      <c r="D178" s="8">
        <v>9.85</v>
      </c>
      <c r="E178" s="7" t="s">
        <v>38</v>
      </c>
      <c r="F178" s="8">
        <f t="shared" si="58"/>
        <v>0.970558375634518</v>
      </c>
      <c r="G178" s="9" t="s">
        <v>38</v>
      </c>
      <c r="H178" s="9" t="s">
        <v>38</v>
      </c>
      <c r="I178" s="9" t="s">
        <v>38</v>
      </c>
      <c r="J178" s="7">
        <v>53.1</v>
      </c>
      <c r="K178" s="7">
        <v>95.1</v>
      </c>
      <c r="L178" s="9">
        <f>DEGREES(ACOS((J178^2+J179^2-K178^2)/(2*J178*J179)))</f>
        <v>163.361577300654</v>
      </c>
      <c r="M178" s="13" t="s">
        <v>38</v>
      </c>
      <c r="N178" s="12" t="s">
        <v>38</v>
      </c>
    </row>
    <row r="179" spans="1:14">
      <c r="A179" s="2" t="s">
        <v>340</v>
      </c>
      <c r="B179" s="7">
        <v>11.2</v>
      </c>
      <c r="C179" s="7" t="s">
        <v>38</v>
      </c>
      <c r="D179" s="8">
        <v>10.36</v>
      </c>
      <c r="E179" s="7" t="s">
        <v>38</v>
      </c>
      <c r="F179" s="8">
        <f t="shared" si="58"/>
        <v>1.08108108108108</v>
      </c>
      <c r="G179" s="9" t="s">
        <v>38</v>
      </c>
      <c r="H179" s="9" t="s">
        <v>38</v>
      </c>
      <c r="I179" s="9" t="s">
        <v>38</v>
      </c>
      <c r="J179" s="7">
        <v>43</v>
      </c>
      <c r="K179" s="7" t="s">
        <v>38</v>
      </c>
      <c r="L179" s="9" t="s">
        <v>38</v>
      </c>
      <c r="M179" s="13" t="s">
        <v>38</v>
      </c>
      <c r="N179" s="12" t="s">
        <v>38</v>
      </c>
    </row>
    <row r="180" spans="1:14">
      <c r="A180" s="2" t="s">
        <v>341</v>
      </c>
      <c r="B180" s="7">
        <v>8.2</v>
      </c>
      <c r="C180" s="7">
        <v>9.01</v>
      </c>
      <c r="D180" s="8">
        <v>11.76</v>
      </c>
      <c r="E180" s="7">
        <f t="shared" ref="E180:E186" si="59">B180/C180</f>
        <v>0.910099889012209</v>
      </c>
      <c r="F180" s="8">
        <f t="shared" si="58"/>
        <v>0.697278911564626</v>
      </c>
      <c r="G180" s="9" t="s">
        <v>38</v>
      </c>
      <c r="H180" s="9" t="s">
        <v>38</v>
      </c>
      <c r="I180" s="9" t="s">
        <v>38</v>
      </c>
      <c r="J180" s="7" t="s">
        <v>38</v>
      </c>
      <c r="K180" s="7" t="s">
        <v>38</v>
      </c>
      <c r="L180" s="9" t="s">
        <v>38</v>
      </c>
      <c r="M180" s="13" t="s">
        <v>38</v>
      </c>
      <c r="N180" s="12" t="s">
        <v>38</v>
      </c>
    </row>
    <row r="181" spans="1:14">
      <c r="A181" s="2" t="s">
        <v>108</v>
      </c>
      <c r="B181" s="7">
        <f t="shared" ref="B181:F181" si="60">AVERAGE(B177:B180)</f>
        <v>9.99</v>
      </c>
      <c r="C181" s="7">
        <f t="shared" si="60"/>
        <v>9.01</v>
      </c>
      <c r="D181" s="8">
        <f t="shared" si="60"/>
        <v>10.1475</v>
      </c>
      <c r="E181" s="7">
        <f t="shared" si="60"/>
        <v>0.910099889012209</v>
      </c>
      <c r="F181" s="8">
        <f t="shared" si="60"/>
        <v>1.00625511411182</v>
      </c>
      <c r="G181" s="7" t="s">
        <v>38</v>
      </c>
      <c r="H181" s="7" t="s">
        <v>38</v>
      </c>
      <c r="I181" s="7" t="s">
        <v>38</v>
      </c>
      <c r="J181" s="7">
        <f t="shared" ref="J181:L181" si="61">AVERAGE(J177:J180)</f>
        <v>52.5666666666667</v>
      </c>
      <c r="K181" s="7">
        <f t="shared" si="61"/>
        <v>104.15</v>
      </c>
      <c r="L181" s="9">
        <f t="shared" si="61"/>
        <v>162.378659221976</v>
      </c>
      <c r="M181" s="7" t="s">
        <v>38</v>
      </c>
      <c r="N181" s="7" t="s">
        <v>38</v>
      </c>
    </row>
    <row r="182" spans="1:14">
      <c r="A182" s="30"/>
      <c r="B182" s="31"/>
      <c r="C182" s="31"/>
      <c r="D182" s="30"/>
      <c r="E182" s="31"/>
      <c r="F182" s="32"/>
      <c r="G182" s="33"/>
      <c r="H182" s="33"/>
      <c r="I182" s="33"/>
      <c r="J182" s="31"/>
      <c r="K182" s="31"/>
      <c r="L182" s="35"/>
      <c r="M182" s="33"/>
      <c r="N182" s="36"/>
    </row>
    <row r="183" spans="1:14">
      <c r="A183" s="2" t="s">
        <v>342</v>
      </c>
      <c r="B183" s="7" t="s">
        <v>38</v>
      </c>
      <c r="C183" s="7">
        <v>33.01</v>
      </c>
      <c r="D183" s="7">
        <v>23.12</v>
      </c>
      <c r="E183" s="7" t="s">
        <v>38</v>
      </c>
      <c r="F183" s="8" t="s">
        <v>38</v>
      </c>
      <c r="G183" s="13" t="s">
        <v>38</v>
      </c>
      <c r="H183" s="13" t="s">
        <v>38</v>
      </c>
      <c r="I183" s="13" t="s">
        <v>38</v>
      </c>
      <c r="J183" s="7">
        <v>75.6</v>
      </c>
      <c r="K183" s="7">
        <v>170.98</v>
      </c>
      <c r="L183" s="9">
        <f t="shared" ref="L183:L192" si="62">DEGREES(ACOS((J183^2+J184^2-K183^2)/(2*J183*J184)))</f>
        <v>156.089452850523</v>
      </c>
      <c r="M183" s="13">
        <v>-10</v>
      </c>
      <c r="N183" s="12" t="s">
        <v>38</v>
      </c>
    </row>
    <row r="184" spans="1:14">
      <c r="A184" s="2" t="s">
        <v>343</v>
      </c>
      <c r="B184" s="7">
        <v>39.7</v>
      </c>
      <c r="C184" s="7">
        <v>23.61</v>
      </c>
      <c r="D184" s="7">
        <v>29.37</v>
      </c>
      <c r="E184" s="7">
        <f t="shared" si="59"/>
        <v>1.68149089368911</v>
      </c>
      <c r="F184" s="8">
        <f t="shared" ref="F184:F194" si="63">B184/D184</f>
        <v>1.35171944160708</v>
      </c>
      <c r="G184" s="13" t="s">
        <v>38</v>
      </c>
      <c r="H184" s="13" t="s">
        <v>38</v>
      </c>
      <c r="I184" s="13" t="s">
        <v>38</v>
      </c>
      <c r="J184" s="7">
        <v>99.1</v>
      </c>
      <c r="K184" s="7">
        <v>185</v>
      </c>
      <c r="L184" s="9">
        <f t="shared" si="62"/>
        <v>155.251909735325</v>
      </c>
      <c r="M184" s="13">
        <v>6</v>
      </c>
      <c r="N184" s="12">
        <v>0.4146548</v>
      </c>
    </row>
    <row r="185" spans="1:14">
      <c r="A185" s="2" t="s">
        <v>344</v>
      </c>
      <c r="B185" s="7">
        <v>37.79</v>
      </c>
      <c r="C185" s="7">
        <v>26.3</v>
      </c>
      <c r="D185" s="7">
        <v>30.73</v>
      </c>
      <c r="E185" s="7">
        <f t="shared" si="59"/>
        <v>1.43688212927757</v>
      </c>
      <c r="F185" s="8">
        <f t="shared" si="63"/>
        <v>1.22974292222584</v>
      </c>
      <c r="G185" s="13">
        <f t="shared" ref="G185:G188" si="64">H185+I185</f>
        <v>54</v>
      </c>
      <c r="H185" s="13">
        <v>37</v>
      </c>
      <c r="I185" s="13">
        <v>17</v>
      </c>
      <c r="J185" s="7">
        <v>90.29</v>
      </c>
      <c r="K185" s="7">
        <v>178.06</v>
      </c>
      <c r="L185" s="9">
        <f t="shared" si="62"/>
        <v>152.840300550372</v>
      </c>
      <c r="M185" s="13">
        <v>-12</v>
      </c>
      <c r="N185" s="12">
        <v>0.261217948717949</v>
      </c>
    </row>
    <row r="186" spans="1:14">
      <c r="A186" s="2" t="s">
        <v>345</v>
      </c>
      <c r="B186" s="7">
        <v>43.15</v>
      </c>
      <c r="C186" s="7">
        <v>21.27</v>
      </c>
      <c r="D186" s="7">
        <v>30.3</v>
      </c>
      <c r="E186" s="7">
        <f t="shared" si="59"/>
        <v>2.02867889045604</v>
      </c>
      <c r="F186" s="8">
        <f t="shared" si="63"/>
        <v>1.42409240924092</v>
      </c>
      <c r="G186" s="13">
        <f t="shared" si="64"/>
        <v>38</v>
      </c>
      <c r="H186" s="13">
        <v>25</v>
      </c>
      <c r="I186" s="13">
        <v>13</v>
      </c>
      <c r="J186" s="7">
        <v>92.89</v>
      </c>
      <c r="K186" s="7">
        <v>178.02</v>
      </c>
      <c r="L186" s="9">
        <f t="shared" si="62"/>
        <v>151.452465560996</v>
      </c>
      <c r="M186" s="13">
        <v>0</v>
      </c>
      <c r="N186" s="12">
        <v>0.25</v>
      </c>
    </row>
    <row r="187" spans="1:14">
      <c r="A187" s="2" t="s">
        <v>346</v>
      </c>
      <c r="B187" s="7">
        <v>30.22</v>
      </c>
      <c r="C187" s="7" t="s">
        <v>38</v>
      </c>
      <c r="D187" s="7">
        <v>27.58</v>
      </c>
      <c r="E187" s="7" t="s">
        <v>38</v>
      </c>
      <c r="F187" s="8">
        <f t="shared" si="63"/>
        <v>1.0957215373459</v>
      </c>
      <c r="G187" s="13" t="s">
        <v>38</v>
      </c>
      <c r="H187" s="13" t="s">
        <v>38</v>
      </c>
      <c r="I187" s="13" t="s">
        <v>38</v>
      </c>
      <c r="J187" s="7">
        <v>90.8</v>
      </c>
      <c r="K187" s="7">
        <v>184.59</v>
      </c>
      <c r="L187" s="9">
        <f t="shared" si="62"/>
        <v>156.166263309847</v>
      </c>
      <c r="M187" s="13" t="s">
        <v>38</v>
      </c>
      <c r="N187" s="12" t="s">
        <v>38</v>
      </c>
    </row>
    <row r="188" spans="1:14">
      <c r="A188" s="2" t="s">
        <v>347</v>
      </c>
      <c r="B188" s="7">
        <v>41.29</v>
      </c>
      <c r="C188" s="7">
        <v>23.07</v>
      </c>
      <c r="D188" s="7">
        <v>30.91</v>
      </c>
      <c r="E188" s="7">
        <f t="shared" ref="E188:E192" si="65">B188/C188</f>
        <v>1.78977026441266</v>
      </c>
      <c r="F188" s="8">
        <f t="shared" si="63"/>
        <v>1.33581365253963</v>
      </c>
      <c r="G188" s="13">
        <f t="shared" si="64"/>
        <v>49</v>
      </c>
      <c r="H188" s="13">
        <v>28</v>
      </c>
      <c r="I188" s="13">
        <v>21</v>
      </c>
      <c r="J188" s="7">
        <v>97.85</v>
      </c>
      <c r="K188" s="7">
        <v>184.26</v>
      </c>
      <c r="L188" s="9">
        <f t="shared" si="62"/>
        <v>154.31862757063</v>
      </c>
      <c r="M188" s="13">
        <v>3</v>
      </c>
      <c r="N188" s="12">
        <v>0.23</v>
      </c>
    </row>
    <row r="189" spans="1:14">
      <c r="A189" s="2" t="s">
        <v>348</v>
      </c>
      <c r="B189" s="7">
        <v>36.48</v>
      </c>
      <c r="C189" s="7">
        <v>26.48</v>
      </c>
      <c r="D189" s="7">
        <v>39.01</v>
      </c>
      <c r="E189" s="7">
        <f t="shared" si="65"/>
        <v>1.37764350453172</v>
      </c>
      <c r="F189" s="8">
        <f t="shared" si="63"/>
        <v>0.93514483465778</v>
      </c>
      <c r="G189" s="13" t="s">
        <v>38</v>
      </c>
      <c r="H189" s="13" t="s">
        <v>38</v>
      </c>
      <c r="I189" s="13" t="s">
        <v>38</v>
      </c>
      <c r="J189" s="7">
        <v>91.13</v>
      </c>
      <c r="K189" s="7">
        <v>186.63</v>
      </c>
      <c r="L189" s="9">
        <f t="shared" si="62"/>
        <v>150.749167317947</v>
      </c>
      <c r="M189" s="13">
        <v>-5</v>
      </c>
      <c r="N189" s="12" t="s">
        <v>38</v>
      </c>
    </row>
    <row r="190" spans="1:14">
      <c r="A190" s="2" t="s">
        <v>349</v>
      </c>
      <c r="B190" s="7">
        <v>23.85</v>
      </c>
      <c r="C190" s="7">
        <v>25.11</v>
      </c>
      <c r="D190" s="7">
        <v>31.2</v>
      </c>
      <c r="E190" s="7">
        <f t="shared" si="65"/>
        <v>0.949820788530466</v>
      </c>
      <c r="F190" s="8">
        <f t="shared" si="63"/>
        <v>0.764423076923077</v>
      </c>
      <c r="G190" s="13" t="s">
        <v>38</v>
      </c>
      <c r="H190" s="13" t="s">
        <v>38</v>
      </c>
      <c r="I190" s="13" t="s">
        <v>38</v>
      </c>
      <c r="J190" s="7">
        <v>101.73</v>
      </c>
      <c r="K190" s="7">
        <v>180.27</v>
      </c>
      <c r="L190" s="9">
        <f t="shared" si="62"/>
        <v>160.09143650482</v>
      </c>
      <c r="M190" s="13">
        <v>-3</v>
      </c>
      <c r="N190" s="12" t="s">
        <v>38</v>
      </c>
    </row>
    <row r="191" spans="1:14">
      <c r="A191" s="2" t="s">
        <v>350</v>
      </c>
      <c r="B191" s="7">
        <v>35.98</v>
      </c>
      <c r="C191" s="7">
        <v>31</v>
      </c>
      <c r="D191" s="7">
        <v>39.01</v>
      </c>
      <c r="E191" s="7">
        <f t="shared" si="65"/>
        <v>1.16064516129032</v>
      </c>
      <c r="F191" s="8">
        <f t="shared" si="63"/>
        <v>0.922327608305563</v>
      </c>
      <c r="G191" s="13">
        <f t="shared" ref="G191:G194" si="66">H191+I191</f>
        <v>70</v>
      </c>
      <c r="H191" s="13">
        <v>40</v>
      </c>
      <c r="I191" s="13">
        <v>30</v>
      </c>
      <c r="J191" s="7">
        <v>81.26</v>
      </c>
      <c r="K191" s="7">
        <v>190</v>
      </c>
      <c r="L191" s="9">
        <f t="shared" si="62"/>
        <v>161.886214997945</v>
      </c>
      <c r="M191" s="13">
        <v>-10</v>
      </c>
      <c r="N191" s="12">
        <v>0.262437810945274</v>
      </c>
    </row>
    <row r="192" spans="1:14">
      <c r="A192" s="2" t="s">
        <v>351</v>
      </c>
      <c r="B192" s="7">
        <v>30.94</v>
      </c>
      <c r="C192" s="7">
        <v>30.04</v>
      </c>
      <c r="D192" s="7">
        <v>34.77</v>
      </c>
      <c r="E192" s="7">
        <f t="shared" si="65"/>
        <v>1.02996005326232</v>
      </c>
      <c r="F192" s="8">
        <f t="shared" si="63"/>
        <v>0.889847569744032</v>
      </c>
      <c r="G192" s="13">
        <f t="shared" si="66"/>
        <v>31.1401124835183</v>
      </c>
      <c r="H192" s="13">
        <f>E192-F192</f>
        <v>0.140112483518285</v>
      </c>
      <c r="I192" s="13">
        <v>31</v>
      </c>
      <c r="J192" s="7">
        <v>111.08</v>
      </c>
      <c r="K192" s="7">
        <v>170.72</v>
      </c>
      <c r="L192" s="9">
        <f t="shared" si="62"/>
        <v>138.507254513048</v>
      </c>
      <c r="M192" s="13">
        <v>1</v>
      </c>
      <c r="N192" s="12">
        <v>0.204026845637584</v>
      </c>
    </row>
    <row r="193" spans="1:14">
      <c r="A193" s="2" t="s">
        <v>352</v>
      </c>
      <c r="B193" s="7">
        <v>34.23</v>
      </c>
      <c r="C193" s="7" t="s">
        <v>38</v>
      </c>
      <c r="D193" s="7">
        <v>29.84</v>
      </c>
      <c r="E193" s="7" t="s">
        <v>38</v>
      </c>
      <c r="F193" s="8">
        <f t="shared" si="63"/>
        <v>1.14711796246649</v>
      </c>
      <c r="G193" s="13" t="s">
        <v>38</v>
      </c>
      <c r="H193" s="13" t="s">
        <v>38</v>
      </c>
      <c r="I193" s="13" t="s">
        <v>38</v>
      </c>
      <c r="J193" s="7">
        <v>70.84</v>
      </c>
      <c r="K193" s="7" t="s">
        <v>38</v>
      </c>
      <c r="L193" s="9" t="s">
        <v>38</v>
      </c>
      <c r="M193" s="13" t="s">
        <v>38</v>
      </c>
      <c r="N193" s="12" t="s">
        <v>38</v>
      </c>
    </row>
    <row r="194" spans="1:14">
      <c r="A194" s="2" t="s">
        <v>353</v>
      </c>
      <c r="B194" s="7">
        <v>39.12</v>
      </c>
      <c r="C194" s="7">
        <v>21.15</v>
      </c>
      <c r="D194" s="7">
        <v>31.48</v>
      </c>
      <c r="E194" s="7">
        <f t="shared" ref="E194:E198" si="67">B194/C194</f>
        <v>1.84964539007092</v>
      </c>
      <c r="F194" s="8">
        <f t="shared" si="63"/>
        <v>1.24269377382465</v>
      </c>
      <c r="G194" s="13">
        <f t="shared" si="66"/>
        <v>25.6069516162463</v>
      </c>
      <c r="H194" s="13">
        <f>E194-F194</f>
        <v>0.606951616246272</v>
      </c>
      <c r="I194" s="13">
        <v>25</v>
      </c>
      <c r="J194" s="7" t="s">
        <v>38</v>
      </c>
      <c r="K194" s="7">
        <v>201.16</v>
      </c>
      <c r="L194" s="9" t="s">
        <v>38</v>
      </c>
      <c r="M194" s="13" t="s">
        <v>38</v>
      </c>
      <c r="N194" s="12">
        <v>0.290909090909091</v>
      </c>
    </row>
    <row r="195" spans="1:14">
      <c r="A195" s="2" t="s">
        <v>354</v>
      </c>
      <c r="B195" s="7" t="s">
        <v>38</v>
      </c>
      <c r="C195" s="7" t="s">
        <v>38</v>
      </c>
      <c r="D195" s="7">
        <v>41.85</v>
      </c>
      <c r="E195" s="7" t="s">
        <v>38</v>
      </c>
      <c r="F195" s="8" t="s">
        <v>38</v>
      </c>
      <c r="G195" s="13" t="s">
        <v>38</v>
      </c>
      <c r="H195" s="13" t="s">
        <v>38</v>
      </c>
      <c r="I195" s="13" t="s">
        <v>38</v>
      </c>
      <c r="J195" s="7" t="s">
        <v>38</v>
      </c>
      <c r="K195" s="7" t="s">
        <v>38</v>
      </c>
      <c r="L195" s="9" t="s">
        <v>38</v>
      </c>
      <c r="M195" s="13" t="s">
        <v>38</v>
      </c>
      <c r="N195" s="12" t="s">
        <v>38</v>
      </c>
    </row>
    <row r="196" spans="1:14">
      <c r="A196" s="2" t="s">
        <v>355</v>
      </c>
      <c r="B196" s="7" t="s">
        <v>38</v>
      </c>
      <c r="C196" s="7" t="s">
        <v>38</v>
      </c>
      <c r="D196" s="7" t="s">
        <v>38</v>
      </c>
      <c r="E196" s="7" t="s">
        <v>38</v>
      </c>
      <c r="F196" s="8" t="s">
        <v>38</v>
      </c>
      <c r="G196" s="13" t="s">
        <v>38</v>
      </c>
      <c r="H196" s="13" t="s">
        <v>38</v>
      </c>
      <c r="I196" s="13" t="s">
        <v>38</v>
      </c>
      <c r="J196" s="7">
        <v>93.62</v>
      </c>
      <c r="K196" s="7">
        <v>178.2</v>
      </c>
      <c r="L196" s="9">
        <f t="shared" ref="L196:L200" si="68">DEGREES(ACOS((J196^2+J197^2-K196^2)/(2*J196*J197)))</f>
        <v>155.066930986263</v>
      </c>
      <c r="M196" s="13" t="s">
        <v>38</v>
      </c>
      <c r="N196" s="12" t="s">
        <v>38</v>
      </c>
    </row>
    <row r="197" spans="1:14">
      <c r="A197" s="2" t="s">
        <v>356</v>
      </c>
      <c r="B197" s="7">
        <v>34.86</v>
      </c>
      <c r="C197" s="7">
        <v>30.88</v>
      </c>
      <c r="D197" s="7">
        <v>31.61</v>
      </c>
      <c r="E197" s="7">
        <f t="shared" si="67"/>
        <v>1.12888601036269</v>
      </c>
      <c r="F197" s="8">
        <f t="shared" ref="F197:F202" si="69">B197/D197</f>
        <v>1.10281556469472</v>
      </c>
      <c r="G197" s="13" t="s">
        <v>38</v>
      </c>
      <c r="H197" s="13" t="s">
        <v>38</v>
      </c>
      <c r="I197" s="13" t="s">
        <v>38</v>
      </c>
      <c r="J197" s="7">
        <v>88.88</v>
      </c>
      <c r="K197" s="7">
        <v>184.82</v>
      </c>
      <c r="L197" s="9">
        <f t="shared" si="68"/>
        <v>158.927515327004</v>
      </c>
      <c r="M197" s="13">
        <v>10</v>
      </c>
      <c r="N197" s="12" t="s">
        <v>38</v>
      </c>
    </row>
    <row r="198" spans="1:14">
      <c r="A198" s="2" t="s">
        <v>357</v>
      </c>
      <c r="B198" s="7">
        <v>37.47</v>
      </c>
      <c r="C198" s="7">
        <v>24.65</v>
      </c>
      <c r="D198" s="7">
        <v>31.77</v>
      </c>
      <c r="E198" s="7">
        <f t="shared" si="67"/>
        <v>1.52008113590264</v>
      </c>
      <c r="F198" s="8">
        <f t="shared" si="69"/>
        <v>1.17941454202077</v>
      </c>
      <c r="G198" s="13">
        <f>H198+I198</f>
        <v>58</v>
      </c>
      <c r="H198" s="13">
        <v>30</v>
      </c>
      <c r="I198" s="13">
        <v>28</v>
      </c>
      <c r="J198" s="7">
        <v>99.1</v>
      </c>
      <c r="K198" s="7">
        <v>182.96</v>
      </c>
      <c r="L198" s="9">
        <f t="shared" si="68"/>
        <v>157.284464793401</v>
      </c>
      <c r="M198" s="13">
        <v>12</v>
      </c>
      <c r="N198" s="12">
        <v>0.31</v>
      </c>
    </row>
    <row r="199" spans="1:14">
      <c r="A199" s="2" t="s">
        <v>358</v>
      </c>
      <c r="B199" s="7" t="s">
        <v>38</v>
      </c>
      <c r="C199" s="7" t="s">
        <v>38</v>
      </c>
      <c r="D199" s="7">
        <v>34.38</v>
      </c>
      <c r="E199" s="7"/>
      <c r="F199" s="8"/>
      <c r="G199" s="13" t="s">
        <v>38</v>
      </c>
      <c r="H199" s="13" t="s">
        <v>38</v>
      </c>
      <c r="I199" s="13" t="s">
        <v>38</v>
      </c>
      <c r="J199" s="7">
        <v>87.5</v>
      </c>
      <c r="K199" s="7">
        <v>195.06</v>
      </c>
      <c r="L199" s="9">
        <f t="shared" si="68"/>
        <v>148.111050700155</v>
      </c>
      <c r="M199" s="13">
        <v>-25</v>
      </c>
      <c r="N199" s="12" t="s">
        <v>38</v>
      </c>
    </row>
    <row r="200" spans="1:14">
      <c r="A200" s="2" t="s">
        <v>359</v>
      </c>
      <c r="B200" s="7">
        <v>29.47</v>
      </c>
      <c r="C200" s="7">
        <v>22.65</v>
      </c>
      <c r="D200" s="7">
        <v>29.71</v>
      </c>
      <c r="E200" s="7">
        <f t="shared" ref="E200:E202" si="70">B200/C200</f>
        <v>1.30110375275938</v>
      </c>
      <c r="F200" s="8">
        <f t="shared" si="69"/>
        <v>0.991921911814204</v>
      </c>
      <c r="G200" s="13" t="s">
        <v>38</v>
      </c>
      <c r="H200" s="13" t="s">
        <v>38</v>
      </c>
      <c r="I200" s="13" t="s">
        <v>38</v>
      </c>
      <c r="J200" s="7">
        <v>115.21</v>
      </c>
      <c r="K200" s="7">
        <v>207.3</v>
      </c>
      <c r="L200" s="9">
        <f t="shared" si="68"/>
        <v>162.453076234192</v>
      </c>
      <c r="M200" s="13">
        <v>11</v>
      </c>
      <c r="N200" s="12" t="s">
        <v>38</v>
      </c>
    </row>
    <row r="201" spans="1:14">
      <c r="A201" s="2" t="s">
        <v>360</v>
      </c>
      <c r="B201" s="7">
        <v>34.09</v>
      </c>
      <c r="C201" s="7">
        <v>21.87</v>
      </c>
      <c r="D201" s="7">
        <v>31.05</v>
      </c>
      <c r="E201" s="7">
        <f t="shared" si="70"/>
        <v>1.55875628715135</v>
      </c>
      <c r="F201" s="8">
        <f t="shared" si="69"/>
        <v>1.09790660225443</v>
      </c>
      <c r="G201" s="13" t="s">
        <v>38</v>
      </c>
      <c r="H201" s="13" t="s">
        <v>38</v>
      </c>
      <c r="I201" s="13" t="s">
        <v>38</v>
      </c>
      <c r="J201" s="7">
        <v>94.52</v>
      </c>
      <c r="K201" s="7" t="s">
        <v>38</v>
      </c>
      <c r="L201" s="9" t="s">
        <v>38</v>
      </c>
      <c r="M201" s="13" t="s">
        <v>38</v>
      </c>
      <c r="N201" s="12" t="s">
        <v>38</v>
      </c>
    </row>
    <row r="202" spans="1:14">
      <c r="A202" s="2" t="s">
        <v>361</v>
      </c>
      <c r="B202" s="7">
        <v>45.16</v>
      </c>
      <c r="C202" s="7">
        <v>24.57</v>
      </c>
      <c r="D202" s="7">
        <v>31.99</v>
      </c>
      <c r="E202" s="7">
        <f t="shared" si="70"/>
        <v>1.83801383801384</v>
      </c>
      <c r="F202" s="8">
        <f t="shared" si="69"/>
        <v>1.41169115348546</v>
      </c>
      <c r="G202" s="13">
        <f>H202+I202</f>
        <v>46</v>
      </c>
      <c r="H202" s="13">
        <v>24</v>
      </c>
      <c r="I202" s="13">
        <v>22</v>
      </c>
      <c r="J202" s="7" t="s">
        <v>38</v>
      </c>
      <c r="K202" s="7" t="s">
        <v>38</v>
      </c>
      <c r="L202" s="9" t="s">
        <v>38</v>
      </c>
      <c r="M202" s="13" t="s">
        <v>38</v>
      </c>
      <c r="N202" s="12">
        <v>0.3</v>
      </c>
    </row>
    <row r="203" spans="1:14">
      <c r="A203" s="2" t="s">
        <v>108</v>
      </c>
      <c r="B203" s="7">
        <f t="shared" ref="B203:L203" si="71">AVERAGE(B183:B202)</f>
        <v>35.8625</v>
      </c>
      <c r="C203" s="7">
        <f t="shared" si="71"/>
        <v>25.7106666666667</v>
      </c>
      <c r="D203" s="7">
        <f t="shared" si="71"/>
        <v>32.0884210526316</v>
      </c>
      <c r="E203" s="7">
        <f t="shared" si="71"/>
        <v>1.47509843569365</v>
      </c>
      <c r="F203" s="8">
        <f t="shared" si="71"/>
        <v>1.13264966019691</v>
      </c>
      <c r="G203" s="13">
        <f t="shared" si="71"/>
        <v>46.4683830124706</v>
      </c>
      <c r="H203" s="13">
        <f t="shared" si="71"/>
        <v>23.0933830124706</v>
      </c>
      <c r="I203" s="13">
        <f t="shared" si="71"/>
        <v>23.375</v>
      </c>
      <c r="J203" s="7">
        <f t="shared" si="71"/>
        <v>93.0235294117647</v>
      </c>
      <c r="K203" s="7">
        <f t="shared" si="71"/>
        <v>184.876875</v>
      </c>
      <c r="L203" s="9">
        <f t="shared" si="71"/>
        <v>154.613075396831</v>
      </c>
      <c r="M203" s="13" t="s">
        <v>261</v>
      </c>
      <c r="N203" s="12">
        <f>AVERAGE(N183:N202)</f>
        <v>0.2803607218011</v>
      </c>
    </row>
    <row r="205" spans="1:14">
      <c r="A205" s="20" t="s">
        <v>362</v>
      </c>
      <c r="B205" s="20">
        <v>25.7</v>
      </c>
      <c r="C205" s="20" t="s">
        <v>38</v>
      </c>
      <c r="D205" s="20" t="s">
        <v>38</v>
      </c>
      <c r="E205" s="20" t="s">
        <v>38</v>
      </c>
      <c r="F205" s="20" t="s">
        <v>38</v>
      </c>
      <c r="G205" s="20" t="s">
        <v>38</v>
      </c>
      <c r="H205" s="20" t="s">
        <v>38</v>
      </c>
      <c r="I205" s="20" t="s">
        <v>38</v>
      </c>
      <c r="J205" s="20">
        <v>106.1</v>
      </c>
      <c r="K205" s="20">
        <v>176.3</v>
      </c>
      <c r="L205" s="21">
        <f t="shared" ref="L205:L207" si="72">DEGREES(ACOS((J205^2+J206^2-K205^2)/(2*J205*J206)))</f>
        <v>133.197647862348</v>
      </c>
      <c r="M205" s="21">
        <v>11.01</v>
      </c>
      <c r="N205" s="20" t="s">
        <v>38</v>
      </c>
    </row>
    <row r="206" spans="1:14">
      <c r="A206" s="20" t="s">
        <v>363</v>
      </c>
      <c r="B206" s="20">
        <v>45.85</v>
      </c>
      <c r="C206" s="20" t="s">
        <v>38</v>
      </c>
      <c r="D206" s="20">
        <v>22</v>
      </c>
      <c r="E206" s="20" t="s">
        <v>38</v>
      </c>
      <c r="F206" s="20">
        <f t="shared" ref="F206:F209" si="73">B206/D206</f>
        <v>2.08409090909091</v>
      </c>
      <c r="G206" s="20" t="s">
        <v>38</v>
      </c>
      <c r="H206" s="20" t="s">
        <v>38</v>
      </c>
      <c r="I206" s="20" t="s">
        <v>38</v>
      </c>
      <c r="J206" s="20">
        <v>85.8</v>
      </c>
      <c r="K206" s="20">
        <v>160.8</v>
      </c>
      <c r="L206" s="21">
        <f t="shared" si="72"/>
        <v>129.725187836908</v>
      </c>
      <c r="M206" s="21">
        <v>13.96</v>
      </c>
      <c r="N206" s="20" t="s">
        <v>38</v>
      </c>
    </row>
    <row r="207" spans="1:14">
      <c r="A207" s="20" t="s">
        <v>364</v>
      </c>
      <c r="B207" s="20">
        <v>35.8</v>
      </c>
      <c r="C207" s="20" t="s">
        <v>38</v>
      </c>
      <c r="D207" s="20">
        <v>24.4</v>
      </c>
      <c r="E207" s="20" t="s">
        <v>38</v>
      </c>
      <c r="F207" s="20">
        <f t="shared" si="73"/>
        <v>1.4672131147541</v>
      </c>
      <c r="G207" s="20" t="s">
        <v>38</v>
      </c>
      <c r="H207" s="20" t="s">
        <v>38</v>
      </c>
      <c r="I207" s="20" t="s">
        <v>38</v>
      </c>
      <c r="J207" s="20">
        <v>91.8</v>
      </c>
      <c r="K207" s="20">
        <v>156.1</v>
      </c>
      <c r="L207" s="21">
        <f t="shared" si="72"/>
        <v>120.041954087793</v>
      </c>
      <c r="M207" s="21">
        <v>21</v>
      </c>
      <c r="N207" s="20" t="s">
        <v>38</v>
      </c>
    </row>
    <row r="208" spans="1:14">
      <c r="A208" s="20" t="s">
        <v>365</v>
      </c>
      <c r="B208" s="20">
        <v>43.1</v>
      </c>
      <c r="C208" s="20" t="s">
        <v>38</v>
      </c>
      <c r="D208" s="20" t="s">
        <v>38</v>
      </c>
      <c r="E208" s="20" t="s">
        <v>38</v>
      </c>
      <c r="F208" s="20" t="s">
        <v>38</v>
      </c>
      <c r="G208" s="20" t="s">
        <v>38</v>
      </c>
      <c r="H208" s="20" t="s">
        <v>38</v>
      </c>
      <c r="I208" s="20" t="s">
        <v>38</v>
      </c>
      <c r="J208" s="20">
        <v>88.4</v>
      </c>
      <c r="K208" s="20" t="s">
        <v>38</v>
      </c>
      <c r="L208" s="21" t="s">
        <v>38</v>
      </c>
      <c r="M208" s="21" t="s">
        <v>38</v>
      </c>
      <c r="N208" s="20" t="s">
        <v>38</v>
      </c>
    </row>
    <row r="209" spans="1:14">
      <c r="A209" s="20" t="s">
        <v>366</v>
      </c>
      <c r="B209" s="20">
        <v>35.24</v>
      </c>
      <c r="C209" s="20" t="s">
        <v>38</v>
      </c>
      <c r="D209" s="20">
        <v>19.38</v>
      </c>
      <c r="E209" s="20" t="s">
        <v>38</v>
      </c>
      <c r="F209" s="20">
        <f t="shared" si="73"/>
        <v>1.81836945304438</v>
      </c>
      <c r="G209" s="20" t="s">
        <v>38</v>
      </c>
      <c r="H209" s="20" t="s">
        <v>38</v>
      </c>
      <c r="I209" s="20" t="s">
        <v>38</v>
      </c>
      <c r="J209" s="20" t="s">
        <v>38</v>
      </c>
      <c r="K209" s="20">
        <v>152.2</v>
      </c>
      <c r="L209" s="21" t="s">
        <v>38</v>
      </c>
      <c r="M209" s="21">
        <v>17.25</v>
      </c>
      <c r="N209" s="20" t="s">
        <v>38</v>
      </c>
    </row>
    <row r="210" spans="1:14">
      <c r="A210" s="20" t="s">
        <v>367</v>
      </c>
      <c r="B210" s="20" t="s">
        <v>38</v>
      </c>
      <c r="C210" s="20" t="s">
        <v>38</v>
      </c>
      <c r="D210" s="20" t="s">
        <v>38</v>
      </c>
      <c r="E210" s="20" t="s">
        <v>38</v>
      </c>
      <c r="F210" s="20" t="s">
        <v>38</v>
      </c>
      <c r="G210" s="20" t="s">
        <v>38</v>
      </c>
      <c r="H210" s="20" t="s">
        <v>38</v>
      </c>
      <c r="I210" s="20" t="s">
        <v>38</v>
      </c>
      <c r="J210" s="20" t="s">
        <v>38</v>
      </c>
      <c r="K210" s="20" t="s">
        <v>38</v>
      </c>
      <c r="L210" s="21" t="s">
        <v>38</v>
      </c>
      <c r="M210" s="21" t="s">
        <v>38</v>
      </c>
      <c r="N210" s="20" t="s">
        <v>38</v>
      </c>
    </row>
    <row r="211" spans="1:14">
      <c r="A211" s="20" t="s">
        <v>368</v>
      </c>
      <c r="B211" s="20">
        <v>34.9</v>
      </c>
      <c r="C211" s="20" t="s">
        <v>38</v>
      </c>
      <c r="D211" s="20">
        <v>25.9</v>
      </c>
      <c r="E211" s="20" t="s">
        <v>38</v>
      </c>
      <c r="F211" s="20">
        <f>B211/D211</f>
        <v>1.34749034749035</v>
      </c>
      <c r="G211" s="20" t="s">
        <v>38</v>
      </c>
      <c r="H211" s="20" t="s">
        <v>38</v>
      </c>
      <c r="I211" s="20" t="s">
        <v>38</v>
      </c>
      <c r="J211" s="20" t="s">
        <v>38</v>
      </c>
      <c r="K211" s="20" t="s">
        <v>38</v>
      </c>
      <c r="L211" s="21" t="s">
        <v>38</v>
      </c>
      <c r="M211" s="21" t="s">
        <v>38</v>
      </c>
      <c r="N211" s="20" t="s">
        <v>38</v>
      </c>
    </row>
    <row r="212" spans="1:14">
      <c r="A212" s="20" t="s">
        <v>369</v>
      </c>
      <c r="B212" s="20" t="s">
        <v>38</v>
      </c>
      <c r="C212" s="20" t="s">
        <v>38</v>
      </c>
      <c r="D212" s="20" t="s">
        <v>38</v>
      </c>
      <c r="E212" s="20" t="s">
        <v>38</v>
      </c>
      <c r="F212" s="20" t="s">
        <v>38</v>
      </c>
      <c r="G212" s="20" t="s">
        <v>38</v>
      </c>
      <c r="H212" s="20" t="s">
        <v>38</v>
      </c>
      <c r="I212" s="20" t="s">
        <v>38</v>
      </c>
      <c r="J212" s="20" t="s">
        <v>38</v>
      </c>
      <c r="K212" s="20" t="s">
        <v>38</v>
      </c>
      <c r="L212" s="21" t="s">
        <v>38</v>
      </c>
      <c r="M212" s="21" t="s">
        <v>38</v>
      </c>
      <c r="N212" s="20" t="s">
        <v>38</v>
      </c>
    </row>
    <row r="213" spans="1:14">
      <c r="A213" s="20" t="s">
        <v>370</v>
      </c>
      <c r="B213" s="20" t="s">
        <v>38</v>
      </c>
      <c r="C213" s="20" t="s">
        <v>38</v>
      </c>
      <c r="D213" s="20" t="s">
        <v>38</v>
      </c>
      <c r="E213" s="20" t="s">
        <v>38</v>
      </c>
      <c r="F213" s="20" t="s">
        <v>38</v>
      </c>
      <c r="G213" s="20" t="s">
        <v>38</v>
      </c>
      <c r="H213" s="20" t="s">
        <v>38</v>
      </c>
      <c r="I213" s="20" t="s">
        <v>38</v>
      </c>
      <c r="J213" s="20" t="s">
        <v>38</v>
      </c>
      <c r="K213" s="20" t="s">
        <v>38</v>
      </c>
      <c r="L213" s="21" t="s">
        <v>38</v>
      </c>
      <c r="M213" s="21" t="s">
        <v>38</v>
      </c>
      <c r="N213" s="20" t="s">
        <v>38</v>
      </c>
    </row>
    <row r="214" spans="1:14">
      <c r="A214" s="20" t="s">
        <v>371</v>
      </c>
      <c r="B214" s="20" t="s">
        <v>38</v>
      </c>
      <c r="C214" s="20" t="s">
        <v>38</v>
      </c>
      <c r="D214" s="20" t="s">
        <v>38</v>
      </c>
      <c r="E214" s="20" t="s">
        <v>38</v>
      </c>
      <c r="F214" s="20" t="s">
        <v>38</v>
      </c>
      <c r="G214" s="20" t="s">
        <v>38</v>
      </c>
      <c r="H214" s="20" t="s">
        <v>38</v>
      </c>
      <c r="I214" s="20" t="s">
        <v>38</v>
      </c>
      <c r="J214" s="20" t="s">
        <v>38</v>
      </c>
      <c r="K214" s="20" t="s">
        <v>38</v>
      </c>
      <c r="L214" s="21" t="s">
        <v>38</v>
      </c>
      <c r="M214" s="21" t="s">
        <v>38</v>
      </c>
      <c r="N214" s="20" t="s">
        <v>38</v>
      </c>
    </row>
    <row r="215" spans="1:14">
      <c r="A215" s="20" t="s">
        <v>372</v>
      </c>
      <c r="B215" s="20">
        <v>45.6</v>
      </c>
      <c r="C215" s="20" t="s">
        <v>38</v>
      </c>
      <c r="D215" s="20">
        <v>30.4</v>
      </c>
      <c r="E215" s="20" t="s">
        <v>38</v>
      </c>
      <c r="F215" s="20">
        <f t="shared" ref="F215:F219" si="74">B215/D215</f>
        <v>1.5</v>
      </c>
      <c r="G215" s="20" t="s">
        <v>38</v>
      </c>
      <c r="H215" s="20" t="s">
        <v>38</v>
      </c>
      <c r="I215" s="20" t="s">
        <v>38</v>
      </c>
      <c r="J215" s="20">
        <v>97.9</v>
      </c>
      <c r="K215" s="20">
        <v>167.1</v>
      </c>
      <c r="L215" s="21">
        <f t="shared" ref="L215:L217" si="75">DEGREES(ACOS((J215^2+J216^2-K215^2)/(2*J215*J216)))</f>
        <v>120.249957270086</v>
      </c>
      <c r="M215" s="21">
        <v>6.42</v>
      </c>
      <c r="N215" s="20" t="s">
        <v>38</v>
      </c>
    </row>
    <row r="216" spans="1:14">
      <c r="A216" s="20" t="s">
        <v>373</v>
      </c>
      <c r="B216" s="20">
        <v>39.8</v>
      </c>
      <c r="C216" s="20" t="s">
        <v>38</v>
      </c>
      <c r="D216" s="20" t="s">
        <v>38</v>
      </c>
      <c r="E216" s="20" t="s">
        <v>38</v>
      </c>
      <c r="F216" s="20" t="s">
        <v>38</v>
      </c>
      <c r="G216" s="20" t="s">
        <v>38</v>
      </c>
      <c r="H216" s="20" t="s">
        <v>38</v>
      </c>
      <c r="I216" s="20" t="s">
        <v>38</v>
      </c>
      <c r="J216" s="20">
        <v>94.8</v>
      </c>
      <c r="K216" s="20">
        <v>163.2</v>
      </c>
      <c r="L216" s="21">
        <f t="shared" si="75"/>
        <v>111.124827835428</v>
      </c>
      <c r="M216" s="21">
        <v>13.07</v>
      </c>
      <c r="N216" s="20" t="s">
        <v>38</v>
      </c>
    </row>
    <row r="217" spans="1:14">
      <c r="A217" s="20" t="s">
        <v>374</v>
      </c>
      <c r="B217" s="20">
        <v>39.9</v>
      </c>
      <c r="C217" s="20" t="s">
        <v>38</v>
      </c>
      <c r="D217" s="20">
        <v>25.3</v>
      </c>
      <c r="E217" s="20" t="s">
        <v>38</v>
      </c>
      <c r="F217" s="20">
        <f t="shared" si="74"/>
        <v>1.57707509881423</v>
      </c>
      <c r="G217" s="20" t="s">
        <v>38</v>
      </c>
      <c r="H217" s="20" t="s">
        <v>38</v>
      </c>
      <c r="I217" s="20" t="s">
        <v>38</v>
      </c>
      <c r="J217" s="20">
        <v>103</v>
      </c>
      <c r="K217" s="20">
        <v>161.6</v>
      </c>
      <c r="L217" s="21">
        <f t="shared" si="75"/>
        <v>131.426774726774</v>
      </c>
      <c r="M217" s="21">
        <v>10.03</v>
      </c>
      <c r="N217" s="20" t="s">
        <v>38</v>
      </c>
    </row>
    <row r="218" spans="1:14">
      <c r="A218" s="20" t="s">
        <v>375</v>
      </c>
      <c r="B218" s="20">
        <v>45.6</v>
      </c>
      <c r="C218" s="20" t="s">
        <v>38</v>
      </c>
      <c r="D218" s="20" t="s">
        <v>38</v>
      </c>
      <c r="E218" s="20" t="s">
        <v>38</v>
      </c>
      <c r="F218" s="20" t="s">
        <v>38</v>
      </c>
      <c r="G218" s="20" t="s">
        <v>38</v>
      </c>
      <c r="H218" s="20" t="s">
        <v>38</v>
      </c>
      <c r="I218" s="20" t="s">
        <v>38</v>
      </c>
      <c r="J218" s="20">
        <v>73.8</v>
      </c>
      <c r="K218" s="20" t="s">
        <v>38</v>
      </c>
      <c r="L218" s="21" t="s">
        <v>38</v>
      </c>
      <c r="M218" s="21" t="s">
        <v>38</v>
      </c>
      <c r="N218" s="20" t="s">
        <v>38</v>
      </c>
    </row>
    <row r="219" spans="1:14">
      <c r="A219" s="20" t="s">
        <v>376</v>
      </c>
      <c r="B219" s="20">
        <v>32.3</v>
      </c>
      <c r="C219" s="20" t="s">
        <v>38</v>
      </c>
      <c r="D219" s="20">
        <v>29.03</v>
      </c>
      <c r="E219" s="20" t="s">
        <v>38</v>
      </c>
      <c r="F219" s="20">
        <f t="shared" si="74"/>
        <v>1.11264209438512</v>
      </c>
      <c r="G219" s="20" t="s">
        <v>38</v>
      </c>
      <c r="H219" s="20" t="s">
        <v>38</v>
      </c>
      <c r="I219" s="20" t="s">
        <v>38</v>
      </c>
      <c r="J219" s="20" t="s">
        <v>38</v>
      </c>
      <c r="K219" s="20">
        <v>163.7</v>
      </c>
      <c r="L219" s="21" t="s">
        <v>38</v>
      </c>
      <c r="M219" s="21">
        <v>3.48</v>
      </c>
      <c r="N219" s="20" t="s">
        <v>38</v>
      </c>
    </row>
    <row r="220" spans="1:14">
      <c r="A220" s="20" t="s">
        <v>377</v>
      </c>
      <c r="B220" s="20" t="s">
        <v>38</v>
      </c>
      <c r="C220" s="20" t="s">
        <v>38</v>
      </c>
      <c r="D220" s="20" t="s">
        <v>38</v>
      </c>
      <c r="E220" s="20" t="s">
        <v>38</v>
      </c>
      <c r="F220" s="20" t="s">
        <v>38</v>
      </c>
      <c r="G220" s="20" t="s">
        <v>38</v>
      </c>
      <c r="H220" s="20" t="s">
        <v>38</v>
      </c>
      <c r="I220" s="20" t="s">
        <v>38</v>
      </c>
      <c r="J220" s="20" t="s">
        <v>38</v>
      </c>
      <c r="K220" s="20" t="s">
        <v>38</v>
      </c>
      <c r="L220" s="21" t="s">
        <v>38</v>
      </c>
      <c r="M220" s="21" t="s">
        <v>38</v>
      </c>
      <c r="N220" s="20" t="s">
        <v>38</v>
      </c>
    </row>
    <row r="221" spans="1:14">
      <c r="A221" s="20" t="s">
        <v>378</v>
      </c>
      <c r="B221" s="20">
        <v>32.6</v>
      </c>
      <c r="C221" s="20" t="s">
        <v>38</v>
      </c>
      <c r="D221" s="20">
        <v>24.4</v>
      </c>
      <c r="E221" s="20" t="s">
        <v>38</v>
      </c>
      <c r="F221" s="20">
        <f t="shared" ref="F221:F225" si="76">B221/D221</f>
        <v>1.33606557377049</v>
      </c>
      <c r="G221" s="20" t="s">
        <v>38</v>
      </c>
      <c r="H221" s="20" t="s">
        <v>38</v>
      </c>
      <c r="I221" s="20" t="s">
        <v>38</v>
      </c>
      <c r="J221" s="20" t="s">
        <v>38</v>
      </c>
      <c r="K221" s="20">
        <v>180.1</v>
      </c>
      <c r="L221" s="21" t="s">
        <v>38</v>
      </c>
      <c r="M221" s="21">
        <v>12.84</v>
      </c>
      <c r="N221" s="20" t="s">
        <v>38</v>
      </c>
    </row>
    <row r="222" spans="1:14">
      <c r="A222" s="20" t="s">
        <v>379</v>
      </c>
      <c r="B222" s="20" t="s">
        <v>38</v>
      </c>
      <c r="C222" s="20" t="s">
        <v>38</v>
      </c>
      <c r="D222" s="20" t="s">
        <v>38</v>
      </c>
      <c r="E222" s="20" t="s">
        <v>38</v>
      </c>
      <c r="F222" s="20" t="s">
        <v>38</v>
      </c>
      <c r="G222" s="20" t="s">
        <v>38</v>
      </c>
      <c r="H222" s="20" t="s">
        <v>38</v>
      </c>
      <c r="I222" s="20" t="s">
        <v>38</v>
      </c>
      <c r="J222" s="20" t="s">
        <v>38</v>
      </c>
      <c r="K222" s="20" t="s">
        <v>38</v>
      </c>
      <c r="L222" s="21" t="s">
        <v>38</v>
      </c>
      <c r="M222" s="21" t="s">
        <v>38</v>
      </c>
      <c r="N222" s="20" t="s">
        <v>38</v>
      </c>
    </row>
    <row r="223" spans="1:14">
      <c r="A223" s="20" t="s">
        <v>380</v>
      </c>
      <c r="B223" s="20">
        <v>29.03</v>
      </c>
      <c r="C223" s="20">
        <v>21.7</v>
      </c>
      <c r="D223" s="20">
        <v>24.08</v>
      </c>
      <c r="E223" s="20">
        <f>B223/C223</f>
        <v>1.33778801843318</v>
      </c>
      <c r="F223" s="20">
        <f t="shared" si="76"/>
        <v>1.20556478405316</v>
      </c>
      <c r="G223" s="21">
        <f>H223+I223</f>
        <v>60.46</v>
      </c>
      <c r="H223" s="21">
        <v>35.11</v>
      </c>
      <c r="I223" s="21">
        <v>25.35</v>
      </c>
      <c r="J223" s="20" t="s">
        <v>38</v>
      </c>
      <c r="K223" s="20">
        <v>206.4</v>
      </c>
      <c r="L223" s="21" t="s">
        <v>38</v>
      </c>
      <c r="M223" s="21">
        <v>8.92</v>
      </c>
      <c r="N223" s="29">
        <f>9.2/21.7</f>
        <v>0.423963133640553</v>
      </c>
    </row>
    <row r="224" spans="1:14">
      <c r="A224" s="20" t="s">
        <v>381</v>
      </c>
      <c r="B224" s="20" t="s">
        <v>38</v>
      </c>
      <c r="C224" s="20" t="s">
        <v>38</v>
      </c>
      <c r="D224" s="20" t="s">
        <v>38</v>
      </c>
      <c r="E224" s="20" t="s">
        <v>38</v>
      </c>
      <c r="F224" s="20" t="s">
        <v>38</v>
      </c>
      <c r="G224" s="21" t="s">
        <v>38</v>
      </c>
      <c r="H224" s="21" t="s">
        <v>38</v>
      </c>
      <c r="I224" s="21" t="s">
        <v>38</v>
      </c>
      <c r="J224" s="20" t="s">
        <v>38</v>
      </c>
      <c r="K224" s="20" t="s">
        <v>38</v>
      </c>
      <c r="L224" s="21" t="s">
        <v>38</v>
      </c>
      <c r="M224" s="21" t="s">
        <v>38</v>
      </c>
      <c r="N224" s="29" t="s">
        <v>38</v>
      </c>
    </row>
    <row r="225" spans="1:14">
      <c r="A225" s="20" t="s">
        <v>382</v>
      </c>
      <c r="B225" s="20">
        <v>31.22</v>
      </c>
      <c r="C225" s="20" t="s">
        <v>38</v>
      </c>
      <c r="D225" s="20">
        <v>34.7</v>
      </c>
      <c r="E225" s="20" t="s">
        <v>38</v>
      </c>
      <c r="F225" s="20">
        <f t="shared" si="76"/>
        <v>0.89971181556196</v>
      </c>
      <c r="G225" s="21" t="s">
        <v>38</v>
      </c>
      <c r="H225" s="21" t="s">
        <v>38</v>
      </c>
      <c r="I225" s="21" t="s">
        <v>38</v>
      </c>
      <c r="J225" s="20" t="s">
        <v>38</v>
      </c>
      <c r="K225" s="20" t="s">
        <v>38</v>
      </c>
      <c r="L225" s="21" t="s">
        <v>38</v>
      </c>
      <c r="M225" s="21" t="s">
        <v>38</v>
      </c>
      <c r="N225" s="29" t="s">
        <v>38</v>
      </c>
    </row>
    <row r="226" spans="1:14">
      <c r="A226" s="20" t="s">
        <v>108</v>
      </c>
      <c r="B226" s="20">
        <f t="shared" ref="B226:N226" si="77">AVERAGE(B205:B225)</f>
        <v>36.9028571428572</v>
      </c>
      <c r="C226" s="20">
        <f t="shared" si="77"/>
        <v>21.7</v>
      </c>
      <c r="D226" s="20">
        <f t="shared" si="77"/>
        <v>25.959</v>
      </c>
      <c r="E226" s="20">
        <f t="shared" si="77"/>
        <v>1.33778801843318</v>
      </c>
      <c r="F226" s="20">
        <f t="shared" si="77"/>
        <v>1.43482231909647</v>
      </c>
      <c r="G226" s="21">
        <f t="shared" si="77"/>
        <v>60.46</v>
      </c>
      <c r="H226" s="21">
        <f t="shared" si="77"/>
        <v>35.11</v>
      </c>
      <c r="I226" s="21">
        <f t="shared" si="77"/>
        <v>25.35</v>
      </c>
      <c r="J226" s="20">
        <f t="shared" si="77"/>
        <v>92.7</v>
      </c>
      <c r="K226" s="20">
        <f t="shared" si="77"/>
        <v>168.75</v>
      </c>
      <c r="L226" s="21">
        <f t="shared" si="77"/>
        <v>124.294391603223</v>
      </c>
      <c r="M226" s="21">
        <f t="shared" si="77"/>
        <v>11.798</v>
      </c>
      <c r="N226" s="29">
        <f t="shared" si="77"/>
        <v>0.423963133640553</v>
      </c>
    </row>
    <row r="227" spans="1:14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1"/>
      <c r="M227" s="20"/>
      <c r="N227" s="20"/>
    </row>
    <row r="228" spans="1:14">
      <c r="A228" s="20" t="s">
        <v>383</v>
      </c>
      <c r="B228" s="20">
        <v>34</v>
      </c>
      <c r="C228" s="20">
        <v>30</v>
      </c>
      <c r="D228" s="20">
        <v>33</v>
      </c>
      <c r="E228" s="20">
        <f t="shared" ref="E228:E233" si="78">B228/C228</f>
        <v>1.13333333333333</v>
      </c>
      <c r="F228" s="20">
        <f t="shared" ref="F228:F230" si="79">B228/D228</f>
        <v>1.03030303030303</v>
      </c>
      <c r="G228" s="21" t="s">
        <v>38</v>
      </c>
      <c r="H228" s="21" t="s">
        <v>38</v>
      </c>
      <c r="I228" s="21" t="s">
        <v>38</v>
      </c>
      <c r="J228" s="20">
        <v>93.5</v>
      </c>
      <c r="K228" s="20">
        <v>194.6</v>
      </c>
      <c r="L228" s="21">
        <f>DEGREES(ACOS((J228^2+J229^2-K228^2)/(2*J228*J229)))</f>
        <v>152.067238588078</v>
      </c>
      <c r="M228" s="21">
        <v>28.9</v>
      </c>
      <c r="N228" s="29">
        <f>7.3/30</f>
        <v>0.243333333333333</v>
      </c>
    </row>
    <row r="229" spans="1:14">
      <c r="A229" s="20" t="s">
        <v>384</v>
      </c>
      <c r="B229" s="20">
        <v>39.5</v>
      </c>
      <c r="C229" s="20" t="s">
        <v>38</v>
      </c>
      <c r="D229" s="20">
        <v>33.2</v>
      </c>
      <c r="E229" s="20" t="s">
        <v>38</v>
      </c>
      <c r="F229" s="20">
        <f t="shared" si="79"/>
        <v>1.18975903614458</v>
      </c>
      <c r="G229" s="21" t="s">
        <v>38</v>
      </c>
      <c r="H229" s="21" t="s">
        <v>38</v>
      </c>
      <c r="I229" s="21" t="s">
        <v>38</v>
      </c>
      <c r="J229" s="20">
        <v>107</v>
      </c>
      <c r="K229" s="20" t="s">
        <v>38</v>
      </c>
      <c r="L229" s="21" t="s">
        <v>38</v>
      </c>
      <c r="M229" s="21" t="s">
        <v>38</v>
      </c>
      <c r="N229" s="29" t="s">
        <v>38</v>
      </c>
    </row>
    <row r="230" spans="1:14">
      <c r="A230" s="20" t="s">
        <v>385</v>
      </c>
      <c r="B230" s="20">
        <v>45</v>
      </c>
      <c r="C230" s="20">
        <v>24.15</v>
      </c>
      <c r="D230" s="20">
        <v>32.2</v>
      </c>
      <c r="E230" s="20">
        <f t="shared" si="78"/>
        <v>1.86335403726708</v>
      </c>
      <c r="F230" s="20">
        <f t="shared" si="79"/>
        <v>1.39751552795031</v>
      </c>
      <c r="G230" s="21">
        <f>H230+I230</f>
        <v>45</v>
      </c>
      <c r="H230" s="21">
        <v>25</v>
      </c>
      <c r="I230" s="21">
        <v>20</v>
      </c>
      <c r="J230" s="20" t="s">
        <v>38</v>
      </c>
      <c r="K230" s="20" t="s">
        <v>38</v>
      </c>
      <c r="L230" s="21" t="s">
        <v>38</v>
      </c>
      <c r="M230" s="21" t="s">
        <v>38</v>
      </c>
      <c r="N230" s="29">
        <f>11.8/24.15</f>
        <v>0.488612836438923</v>
      </c>
    </row>
    <row r="231" spans="1:14">
      <c r="A231" s="20" t="s">
        <v>108</v>
      </c>
      <c r="B231" s="20">
        <f t="shared" ref="B231:N231" si="80">AVERAGE(B228:B230)</f>
        <v>39.5</v>
      </c>
      <c r="C231" s="20">
        <f t="shared" si="80"/>
        <v>27.075</v>
      </c>
      <c r="D231" s="20">
        <f t="shared" si="80"/>
        <v>32.8</v>
      </c>
      <c r="E231" s="20">
        <f t="shared" si="80"/>
        <v>1.49834368530021</v>
      </c>
      <c r="F231" s="20">
        <f t="shared" si="80"/>
        <v>1.20585919813264</v>
      </c>
      <c r="G231" s="21">
        <f t="shared" si="80"/>
        <v>45</v>
      </c>
      <c r="H231" s="21">
        <f t="shared" si="80"/>
        <v>25</v>
      </c>
      <c r="I231" s="21">
        <f t="shared" si="80"/>
        <v>20</v>
      </c>
      <c r="J231" s="20">
        <f t="shared" si="80"/>
        <v>100.25</v>
      </c>
      <c r="K231" s="20">
        <f t="shared" si="80"/>
        <v>194.6</v>
      </c>
      <c r="L231" s="21">
        <f t="shared" si="80"/>
        <v>152.067238588078</v>
      </c>
      <c r="M231" s="21">
        <f t="shared" si="80"/>
        <v>28.9</v>
      </c>
      <c r="N231" s="29">
        <f t="shared" si="80"/>
        <v>0.365973084886128</v>
      </c>
    </row>
    <row r="232" spans="2:14">
      <c r="B232" s="25"/>
      <c r="C232" s="25"/>
      <c r="D232" s="25"/>
      <c r="E232" s="37"/>
      <c r="F232" s="4"/>
      <c r="G232" s="38"/>
      <c r="H232" s="38"/>
      <c r="I232" s="38"/>
      <c r="J232" s="25"/>
      <c r="K232" s="25"/>
      <c r="L232" s="38"/>
      <c r="M232" s="38"/>
      <c r="N232" s="38"/>
    </row>
    <row r="233" spans="1:14">
      <c r="A233" s="2" t="s">
        <v>386</v>
      </c>
      <c r="B233" s="7">
        <v>8.19</v>
      </c>
      <c r="C233" s="7">
        <v>13.14</v>
      </c>
      <c r="D233" s="16">
        <v>13.15</v>
      </c>
      <c r="E233" s="7">
        <f t="shared" si="78"/>
        <v>0.623287671232877</v>
      </c>
      <c r="F233" s="16">
        <f t="shared" ref="F233:F237" si="81">B233/D233</f>
        <v>0.622813688212928</v>
      </c>
      <c r="G233" s="22">
        <v>97</v>
      </c>
      <c r="H233" s="22">
        <v>60</v>
      </c>
      <c r="I233" s="22">
        <v>37</v>
      </c>
      <c r="J233" s="7" t="s">
        <v>38</v>
      </c>
      <c r="K233" s="7">
        <v>55.66</v>
      </c>
      <c r="L233" s="7" t="s">
        <v>38</v>
      </c>
      <c r="M233" s="13">
        <v>-2</v>
      </c>
      <c r="N233" s="28">
        <f>2.31/13.14</f>
        <v>0.175799086757991</v>
      </c>
    </row>
    <row r="234" spans="1:14">
      <c r="A234" s="2" t="s">
        <v>387</v>
      </c>
      <c r="B234" s="7" t="s">
        <v>38</v>
      </c>
      <c r="C234" s="7" t="s">
        <v>38</v>
      </c>
      <c r="D234" s="7" t="s">
        <v>38</v>
      </c>
      <c r="E234" s="7" t="s">
        <v>38</v>
      </c>
      <c r="F234" s="16"/>
      <c r="G234" s="7" t="s">
        <v>38</v>
      </c>
      <c r="H234" s="7" t="s">
        <v>38</v>
      </c>
      <c r="I234" s="7" t="s">
        <v>38</v>
      </c>
      <c r="J234" s="7" t="s">
        <v>38</v>
      </c>
      <c r="K234" s="7" t="s">
        <v>38</v>
      </c>
      <c r="L234" s="7" t="s">
        <v>38</v>
      </c>
      <c r="M234" s="7" t="s">
        <v>38</v>
      </c>
      <c r="N234" s="7" t="s">
        <v>38</v>
      </c>
    </row>
    <row r="235" spans="1:14">
      <c r="A235" s="2" t="s">
        <v>388</v>
      </c>
      <c r="B235" s="7">
        <v>12.02</v>
      </c>
      <c r="C235" s="7">
        <v>14.21</v>
      </c>
      <c r="D235" s="16">
        <v>17.88</v>
      </c>
      <c r="E235" s="7">
        <f>B235/C235</f>
        <v>0.84588318085855</v>
      </c>
      <c r="F235" s="16">
        <f t="shared" si="81"/>
        <v>0.672259507829978</v>
      </c>
      <c r="G235" s="28" t="s">
        <v>38</v>
      </c>
      <c r="H235" s="28" t="s">
        <v>38</v>
      </c>
      <c r="I235" s="28" t="s">
        <v>38</v>
      </c>
      <c r="J235" s="7">
        <v>33.32</v>
      </c>
      <c r="K235" s="7">
        <v>65.92</v>
      </c>
      <c r="L235" s="22">
        <f>DEGREES(ACOS((J235^2+J236^2-K235^2)/(2*J235*J236)))</f>
        <v>129.176863545273</v>
      </c>
      <c r="M235" s="22">
        <v>25</v>
      </c>
      <c r="N235" s="28" t="s">
        <v>38</v>
      </c>
    </row>
    <row r="236" spans="1:14">
      <c r="A236" s="2" t="s">
        <v>389</v>
      </c>
      <c r="B236" s="7" t="s">
        <v>38</v>
      </c>
      <c r="C236" s="7" t="s">
        <v>38</v>
      </c>
      <c r="D236" s="16">
        <v>11.87</v>
      </c>
      <c r="E236" s="7" t="s">
        <v>38</v>
      </c>
      <c r="F236" s="16"/>
      <c r="G236" s="28" t="s">
        <v>38</v>
      </c>
      <c r="H236" s="28" t="s">
        <v>38</v>
      </c>
      <c r="I236" s="28" t="s">
        <v>38</v>
      </c>
      <c r="J236" s="7">
        <v>39.6</v>
      </c>
      <c r="K236" s="28" t="s">
        <v>38</v>
      </c>
      <c r="L236" s="7" t="s">
        <v>38</v>
      </c>
      <c r="M236" s="7" t="s">
        <v>38</v>
      </c>
      <c r="N236" s="28" t="s">
        <v>38</v>
      </c>
    </row>
    <row r="237" spans="1:14">
      <c r="A237" s="2" t="s">
        <v>390</v>
      </c>
      <c r="B237" s="7">
        <v>15.58</v>
      </c>
      <c r="C237" s="7">
        <v>14.33</v>
      </c>
      <c r="D237" s="16">
        <v>14.4</v>
      </c>
      <c r="E237" s="7">
        <f>B237/C237</f>
        <v>1.08722958827634</v>
      </c>
      <c r="F237" s="16">
        <f t="shared" si="81"/>
        <v>1.08194444444444</v>
      </c>
      <c r="G237" s="28" t="s">
        <v>38</v>
      </c>
      <c r="H237" s="28" t="s">
        <v>38</v>
      </c>
      <c r="I237" s="28" t="s">
        <v>38</v>
      </c>
      <c r="J237" s="28" t="s">
        <v>38</v>
      </c>
      <c r="K237" s="28" t="s">
        <v>38</v>
      </c>
      <c r="L237" s="7" t="s">
        <v>38</v>
      </c>
      <c r="M237" s="7" t="s">
        <v>38</v>
      </c>
      <c r="N237" s="28" t="s">
        <v>38</v>
      </c>
    </row>
    <row r="238" spans="1:14">
      <c r="A238" s="2" t="s">
        <v>391</v>
      </c>
      <c r="B238" s="7" t="s">
        <v>38</v>
      </c>
      <c r="C238" s="7" t="s">
        <v>38</v>
      </c>
      <c r="D238" s="7" t="s">
        <v>38</v>
      </c>
      <c r="E238" s="7" t="s">
        <v>38</v>
      </c>
      <c r="F238" s="16"/>
      <c r="G238" s="7" t="s">
        <v>38</v>
      </c>
      <c r="H238" s="7" t="s">
        <v>38</v>
      </c>
      <c r="I238" s="7" t="s">
        <v>38</v>
      </c>
      <c r="J238" s="7" t="s">
        <v>38</v>
      </c>
      <c r="K238" s="7" t="s">
        <v>38</v>
      </c>
      <c r="L238" s="7" t="s">
        <v>38</v>
      </c>
      <c r="M238" s="7" t="s">
        <v>38</v>
      </c>
      <c r="N238" s="7" t="s">
        <v>38</v>
      </c>
    </row>
    <row r="239" spans="1:14">
      <c r="A239" s="2" t="s">
        <v>392</v>
      </c>
      <c r="B239" s="7" t="s">
        <v>38</v>
      </c>
      <c r="C239" s="7" t="s">
        <v>38</v>
      </c>
      <c r="D239" s="7" t="s">
        <v>38</v>
      </c>
      <c r="E239" s="7" t="s">
        <v>38</v>
      </c>
      <c r="F239" s="16"/>
      <c r="G239" s="7" t="s">
        <v>38</v>
      </c>
      <c r="H239" s="7" t="s">
        <v>38</v>
      </c>
      <c r="I239" s="7" t="s">
        <v>38</v>
      </c>
      <c r="J239" s="7" t="s">
        <v>38</v>
      </c>
      <c r="K239" s="7" t="s">
        <v>38</v>
      </c>
      <c r="L239" s="7" t="s">
        <v>38</v>
      </c>
      <c r="M239" s="7" t="s">
        <v>38</v>
      </c>
      <c r="N239" s="7" t="s">
        <v>38</v>
      </c>
    </row>
    <row r="240" spans="1:14">
      <c r="A240" s="2" t="s">
        <v>393</v>
      </c>
      <c r="B240" s="7" t="s">
        <v>38</v>
      </c>
      <c r="C240" s="7" t="s">
        <v>38</v>
      </c>
      <c r="D240" s="7" t="s">
        <v>38</v>
      </c>
      <c r="E240" s="7" t="s">
        <v>38</v>
      </c>
      <c r="F240" s="16"/>
      <c r="G240" s="7" t="s">
        <v>38</v>
      </c>
      <c r="H240" s="7" t="s">
        <v>38</v>
      </c>
      <c r="I240" s="7" t="s">
        <v>38</v>
      </c>
      <c r="J240" s="7" t="s">
        <v>38</v>
      </c>
      <c r="K240" s="7" t="s">
        <v>38</v>
      </c>
      <c r="L240" s="7" t="s">
        <v>38</v>
      </c>
      <c r="M240" s="7" t="s">
        <v>38</v>
      </c>
      <c r="N240" s="7" t="s">
        <v>38</v>
      </c>
    </row>
    <row r="241" spans="1:14">
      <c r="A241" s="2" t="s">
        <v>394</v>
      </c>
      <c r="B241" s="7">
        <v>13.12</v>
      </c>
      <c r="C241" s="7">
        <v>14.44</v>
      </c>
      <c r="D241" s="16">
        <v>14.65</v>
      </c>
      <c r="E241" s="7">
        <f>B241/C241</f>
        <v>0.908587257617729</v>
      </c>
      <c r="F241" s="16">
        <f>B241/D241</f>
        <v>0.895563139931741</v>
      </c>
      <c r="G241" s="28" t="s">
        <v>38</v>
      </c>
      <c r="H241" s="28" t="s">
        <v>38</v>
      </c>
      <c r="I241" s="28" t="s">
        <v>38</v>
      </c>
      <c r="J241" s="28" t="s">
        <v>38</v>
      </c>
      <c r="K241" s="28" t="s">
        <v>38</v>
      </c>
      <c r="L241" s="28" t="s">
        <v>38</v>
      </c>
      <c r="M241" s="28" t="s">
        <v>38</v>
      </c>
      <c r="N241" s="28" t="s">
        <v>38</v>
      </c>
    </row>
    <row r="242" spans="1:14">
      <c r="A242" s="2" t="s">
        <v>108</v>
      </c>
      <c r="B242" s="20">
        <f t="shared" ref="B242:L242" si="82">AVERAGE(B233:B241)</f>
        <v>12.2275</v>
      </c>
      <c r="C242" s="20">
        <f t="shared" si="82"/>
        <v>14.03</v>
      </c>
      <c r="D242" s="20">
        <f t="shared" si="82"/>
        <v>14.39</v>
      </c>
      <c r="E242" s="20">
        <f t="shared" si="82"/>
        <v>0.866246924496375</v>
      </c>
      <c r="F242" s="20">
        <f t="shared" si="82"/>
        <v>0.818145195104773</v>
      </c>
      <c r="G242" s="21">
        <f t="shared" si="82"/>
        <v>97</v>
      </c>
      <c r="H242" s="21">
        <f t="shared" si="82"/>
        <v>60</v>
      </c>
      <c r="I242" s="21">
        <f t="shared" si="82"/>
        <v>37</v>
      </c>
      <c r="J242" s="20">
        <f t="shared" si="82"/>
        <v>36.46</v>
      </c>
      <c r="K242" s="20">
        <f t="shared" si="82"/>
        <v>60.79</v>
      </c>
      <c r="L242" s="21">
        <f t="shared" si="82"/>
        <v>129.176863545273</v>
      </c>
      <c r="M242" s="13" t="s">
        <v>395</v>
      </c>
      <c r="N242" s="29">
        <f>AVERAGE(N233:N241)</f>
        <v>0.175799086757991</v>
      </c>
    </row>
    <row r="243" spans="6:6">
      <c r="F243" s="16"/>
    </row>
    <row r="244" s="1" customFormat="1" spans="1:14">
      <c r="A244" s="1" t="s">
        <v>396</v>
      </c>
      <c r="B244" s="14"/>
      <c r="C244" s="14"/>
      <c r="D244" s="14"/>
      <c r="E244" s="14"/>
      <c r="F244" s="14"/>
      <c r="G244" s="15"/>
      <c r="H244" s="15"/>
      <c r="I244" s="15"/>
      <c r="J244" s="14"/>
      <c r="K244" s="14"/>
      <c r="L244" s="15"/>
      <c r="M244" s="15"/>
      <c r="N244" s="19"/>
    </row>
    <row r="245" s="3" customFormat="1" spans="2:11">
      <c r="B245" s="3" t="s">
        <v>0</v>
      </c>
      <c r="C245" s="3" t="s">
        <v>2</v>
      </c>
      <c r="D245" s="3" t="s">
        <v>143</v>
      </c>
      <c r="E245" s="3" t="s">
        <v>4</v>
      </c>
      <c r="F245" s="37" t="s">
        <v>144</v>
      </c>
      <c r="G245" s="3" t="s">
        <v>10</v>
      </c>
      <c r="H245" s="3" t="s">
        <v>12</v>
      </c>
      <c r="I245" s="3" t="s">
        <v>14</v>
      </c>
      <c r="J245" s="3" t="s">
        <v>18</v>
      </c>
      <c r="K245" s="3" t="s">
        <v>6</v>
      </c>
    </row>
    <row r="246" spans="1:11">
      <c r="A246" s="4" t="s">
        <v>397</v>
      </c>
      <c r="B246" s="28" t="s">
        <v>39</v>
      </c>
      <c r="C246" s="28">
        <v>12.18</v>
      </c>
      <c r="D246" s="28" t="s">
        <v>39</v>
      </c>
      <c r="E246" s="28" t="s">
        <v>39</v>
      </c>
      <c r="F246" s="28" t="s">
        <v>39</v>
      </c>
      <c r="G246" s="28">
        <v>14.7</v>
      </c>
      <c r="H246" s="28" t="s">
        <v>39</v>
      </c>
      <c r="I246" s="28" t="s">
        <v>39</v>
      </c>
      <c r="J246" s="28">
        <v>50.68</v>
      </c>
      <c r="K246" s="28">
        <v>0.248768472906404</v>
      </c>
    </row>
    <row r="247" spans="1:11">
      <c r="A247" s="4" t="s">
        <v>398</v>
      </c>
      <c r="B247" s="28">
        <v>21.46</v>
      </c>
      <c r="C247" s="28">
        <v>14.71</v>
      </c>
      <c r="D247" s="28">
        <v>17.01</v>
      </c>
      <c r="E247" s="28">
        <v>1.45887151597553</v>
      </c>
      <c r="F247" s="28">
        <v>1.26161081716637</v>
      </c>
      <c r="G247" s="28">
        <v>25.19</v>
      </c>
      <c r="H247" s="28">
        <v>20.66</v>
      </c>
      <c r="I247" s="28">
        <v>45.85</v>
      </c>
      <c r="J247" s="28" t="s">
        <v>39</v>
      </c>
      <c r="K247" s="28">
        <v>0.267165193745751</v>
      </c>
    </row>
    <row r="248" spans="1:11">
      <c r="A248" s="4" t="s">
        <v>108</v>
      </c>
      <c r="B248" s="28">
        <v>21.46</v>
      </c>
      <c r="C248" s="28">
        <v>13.445</v>
      </c>
      <c r="D248" s="28">
        <v>17.01</v>
      </c>
      <c r="E248" s="28">
        <v>1.45887151597553</v>
      </c>
      <c r="F248" s="28">
        <v>1.26161081716637</v>
      </c>
      <c r="G248" s="28">
        <v>19.945</v>
      </c>
      <c r="H248" s="28">
        <v>20.66</v>
      </c>
      <c r="I248" s="28">
        <v>45.85</v>
      </c>
      <c r="J248" s="28">
        <v>50.68</v>
      </c>
      <c r="K248" s="28">
        <v>0.257966833326078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Abrriviations</vt:lpstr>
      <vt:lpstr>S_Brontopodus-like</vt:lpstr>
      <vt:lpstr>T-theropod A</vt:lpstr>
      <vt:lpstr>T-theropod B</vt:lpstr>
      <vt:lpstr>T-large didactyls</vt:lpstr>
      <vt:lpstr>T-unclassified</vt:lpstr>
      <vt:lpstr>O-Caririchinium (new)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Qiyan Chen</dc:creator>
  <cp:lastModifiedBy>Qiyan Chen</cp:lastModifiedBy>
  <dcterms:created xsi:type="dcterms:W3CDTF">2024-11-15T11:30:00Z</dcterms:created>
  <dcterms:modified xsi:type="dcterms:W3CDTF">2025-03-22T02:07:07Z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0196A5112BD242BEAF3D0ECDEB7A9CD3_13</vt:lpwstr>
  </property>
  <property fmtid="{D5CDD505-2E9C-101B-9397-08002B2CF9AE}" pid="3" name="KSOProductBuildVer">
    <vt:lpwstr>2052-12.1.0.20305</vt:lpwstr>
  </property>
</Properties>
</file>