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3" activeTab="3"/>
  </bookViews>
  <sheets>
    <sheet name="2023.2" sheetId="1" r:id="rId1"/>
    <sheet name="2023.5" sheetId="2" r:id="rId2"/>
    <sheet name="2023.9" sheetId="3" r:id="rId3"/>
    <sheet name="2022.7" sheetId="4" r:id="rId4"/>
    <sheet name="S1" sheetId="5" r:id="rId5"/>
    <sheet name="S2" sheetId="6" r:id="rId6"/>
    <sheet name="S3" sheetId="7" r:id="rId7"/>
    <sheet name="S4" sheetId="8" r:id="rId8"/>
    <sheet name="S5" sheetId="9" r:id="rId9"/>
    <sheet name="S6" sheetId="10" r:id="rId10"/>
    <sheet name="S7" sheetId="11" r:id="rId11"/>
    <sheet name="S8" sheetId="12" r:id="rId12"/>
    <sheet name="S11" sheetId="15" r:id="rId13"/>
    <sheet name="S9" sheetId="13" r:id="rId14"/>
    <sheet name="S10" sheetId="14" r:id="rId15"/>
    <sheet name="S12" sheetId="16" r:id="rId16"/>
    <sheet name="S13" sheetId="17" r:id="rId17"/>
    <sheet name="S14" sheetId="18" r:id="rId18"/>
    <sheet name="S15" sheetId="19" r:id="rId19"/>
    <sheet name="Four diversity indices for each" sheetId="2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<sst xmlns="http://schemas.openxmlformats.org/spreadsheetml/2006/main" count="892" uniqueCount="81">
  <si>
    <t>Species</t>
  </si>
  <si>
    <t>Number</t>
  </si>
  <si>
    <t>Weight</t>
  </si>
  <si>
    <t>F</t>
  </si>
  <si>
    <t>F%</t>
  </si>
  <si>
    <t>N%</t>
  </si>
  <si>
    <t>W%</t>
  </si>
  <si>
    <t>N%+W%*100</t>
  </si>
  <si>
    <t>IRI</t>
  </si>
  <si>
    <t>Total weight of catch</t>
  </si>
  <si>
    <t>Total number of catch</t>
  </si>
  <si>
    <t>H</t>
  </si>
  <si>
    <t>D</t>
  </si>
  <si>
    <t>E</t>
  </si>
  <si>
    <t>C</t>
  </si>
  <si>
    <t>Abbottina rivularis</t>
  </si>
  <si>
    <t>Gobio rivularis</t>
  </si>
  <si>
    <t>Cobitis granoei</t>
  </si>
  <si>
    <t>Lefua costata</t>
  </si>
  <si>
    <t>Rhinogobius cliffordpopei</t>
  </si>
  <si>
    <t>Hemiculter leucisculus</t>
  </si>
  <si>
    <t>Ctenopharyngodon idella</t>
  </si>
  <si>
    <t>Hypomesus olidus</t>
  </si>
  <si>
    <t>Squaliobarbus curriculus</t>
  </si>
  <si>
    <t>Rhinogobio nasutus</t>
  </si>
  <si>
    <t>Paramisgurnus dabryanus</t>
  </si>
  <si>
    <t>Rhodeus ocellatus</t>
  </si>
  <si>
    <t>Perca fluviatilis</t>
  </si>
  <si>
    <t>Cultrichthys erythropterus</t>
  </si>
  <si>
    <t>Hemibarbus maculatus</t>
  </si>
  <si>
    <t>Triplophysa pappenheimi</t>
  </si>
  <si>
    <t>Gobio huanghensis</t>
  </si>
  <si>
    <t>Dominant species</t>
  </si>
  <si>
    <t>Leuciscus chuanchicus</t>
  </si>
  <si>
    <t>Hypseleotris swinhonis</t>
  </si>
  <si>
    <t>Carassius auratus</t>
  </si>
  <si>
    <t>Cyprinus carpio var. specularis</t>
  </si>
  <si>
    <t>Silurus lanzhouensis</t>
  </si>
  <si>
    <t>Cyprinus carpio</t>
  </si>
  <si>
    <t>Hypophthalmichthys molitrix</t>
  </si>
  <si>
    <t>Pseudorasbora parva</t>
  </si>
  <si>
    <t>Misgurnus anguillicaudatus</t>
  </si>
  <si>
    <t>Oncorhynchus mykiss</t>
  </si>
  <si>
    <t>Triplophysa siluroides</t>
  </si>
  <si>
    <t>Silurus asotus</t>
  </si>
  <si>
    <t>Oryzias latipes</t>
  </si>
  <si>
    <r>
      <rPr>
        <i/>
        <sz val="12"/>
        <color rgb="FF000000"/>
        <rFont val="Segoe UI"/>
        <charset val="134"/>
      </rPr>
      <t xml:space="preserve">Gobiobotia </t>
    </r>
    <r>
      <rPr>
        <sz val="12"/>
        <color theme="1"/>
        <rFont val="Segoe UI"/>
        <charset val="134"/>
      </rPr>
      <t>spp.</t>
    </r>
  </si>
  <si>
    <t>Culter alburnus</t>
  </si>
  <si>
    <t>Megalobrama amblycephala</t>
  </si>
  <si>
    <t xml:space="preserve">Acipenser </t>
  </si>
  <si>
    <t>Sander lucioperca</t>
  </si>
  <si>
    <t>Gobio gracilis</t>
  </si>
  <si>
    <t>Channa argus</t>
  </si>
  <si>
    <t>Acanthorhodeus chankaensis</t>
  </si>
  <si>
    <t>优势种</t>
  </si>
  <si>
    <t>Hypophthalmichthys nobilis</t>
  </si>
  <si>
    <t>Rhodeus sinensis</t>
  </si>
  <si>
    <t>Rhinogobius giurinus</t>
  </si>
  <si>
    <t>Aphyocypris chinensis</t>
  </si>
  <si>
    <t>Acipenser sinensis</t>
  </si>
  <si>
    <t>Gobio rivuloides</t>
  </si>
  <si>
    <t>Gobiobotia pappenheimi</t>
  </si>
  <si>
    <t>Rhinogobius nasalis</t>
  </si>
  <si>
    <t>Culterichthys erythropterus</t>
  </si>
  <si>
    <t>Megalobrama terminalis</t>
  </si>
  <si>
    <t>Gobio tenuicorpus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</si>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</sst>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Segoe UI"/>
      <charset val="134"/>
    </font>
    <font>
      <sz val="11"/>
      <color rgb="FFFF0000"/>
      <name val="宋体"/>
      <charset val="134"/>
      <scheme val="minor"/>
    </font>
    <font>
      <sz val="12"/>
      <color rgb="FF404040"/>
      <name val="Segoe UI"/>
      <charset val="134"/>
    </font>
    <font>
      <i/>
      <sz val="12"/>
      <color rgb="FF404040"/>
      <name val="宋体"/>
      <charset val="134"/>
      <scheme val="minor"/>
    </font>
    <font>
      <i/>
      <sz val="12"/>
      <color rgb="FF404040"/>
      <name val="Segoe UI"/>
      <charset val="134"/>
    </font>
    <font>
      <i/>
      <sz val="12"/>
      <color rgb="FF000000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0" fillId="2" borderId="0" xfId="0" applyFont="1" applyFill="1">
      <alignment vertical="center"/>
    </xf>
    <xf numFmtId="176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0"/>
  <sheetViews>
    <sheetView topLeftCell="A19" workbookViewId="0">
      <selection activeCell="A2" sqref="A2:A43"/>
    </sheetView>
  </sheetViews>
  <sheetFormatPr defaultColWidth="8.89166666666667" defaultRowHeight="13.5"/>
  <cols>
    <col min="1" max="1" width="16.75" customWidth="1"/>
    <col min="2" max="2" width="10.6666666666667"/>
    <col min="3" max="3" width="12.8916666666667"/>
    <col min="5" max="7" width="12.8916666666667"/>
    <col min="8" max="8" width="12.1083333333333" customWidth="1"/>
    <col min="9" max="9" width="12.8916666666667"/>
    <col min="14" max="14" width="14.1083333333333"/>
    <col min="15" max="16" width="12.8916666666667"/>
    <col min="17" max="18" width="12.625"/>
  </cols>
  <sheetData>
    <row r="1" ht="17.25" spans="1:19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L1" s="3" t="s">
        <v>9</v>
      </c>
      <c r="M1" t="s">
        <v>10</v>
      </c>
      <c r="P1" s="6" t="s">
        <v>11</v>
      </c>
      <c r="Q1" s="6" t="s">
        <v>12</v>
      </c>
      <c r="R1" s="6" t="s">
        <v>13</v>
      </c>
      <c r="S1" s="6" t="s">
        <v>14</v>
      </c>
    </row>
    <row r="2" ht="17.25" spans="1:19">
      <c r="A2" s="13" t="s">
        <v>15</v>
      </c>
      <c r="B2">
        <v>60</v>
      </c>
      <c r="C2">
        <v>536.29</v>
      </c>
      <c r="D2">
        <v>10</v>
      </c>
      <c r="E2">
        <f>D2/15</f>
        <v>0.666666666666667</v>
      </c>
      <c r="F2">
        <f>B2/L2</f>
        <v>0.036231884057971</v>
      </c>
      <c r="G2">
        <f>C2/92389</f>
        <v>0.00580469536416673</v>
      </c>
      <c r="H2">
        <f>(F2+G2)*100</f>
        <v>4.20365794221377</v>
      </c>
      <c r="I2">
        <f>H2*E2*100</f>
        <v>280.243862814252</v>
      </c>
      <c r="L2">
        <v>1656</v>
      </c>
      <c r="M2">
        <v>92389</v>
      </c>
      <c r="N2">
        <f>F2*LN(F2)</f>
        <v>-0.120210716403011</v>
      </c>
      <c r="P2" s="6">
        <v>2</v>
      </c>
      <c r="Q2" s="6">
        <f>26/LN(1656)</f>
        <v>3.5077492694567</v>
      </c>
      <c r="R2" s="6">
        <f>2/LN(27)</f>
        <v>0.606826151084558</v>
      </c>
      <c r="S2" s="6">
        <f>1-0.6068</f>
        <v>0.3932</v>
      </c>
    </row>
    <row r="3" ht="17.25" spans="1:9">
      <c r="A3" s="13" t="s">
        <v>16</v>
      </c>
      <c r="B3">
        <v>0</v>
      </c>
      <c r="C3">
        <v>0</v>
      </c>
      <c r="D3">
        <v>0</v>
      </c>
      <c r="E3">
        <f t="shared" ref="E3:E43" si="0">D3/15</f>
        <v>0</v>
      </c>
      <c r="F3">
        <f>B3/1656</f>
        <v>0</v>
      </c>
      <c r="G3">
        <f t="shared" ref="G3:G43" si="1">C3/92389</f>
        <v>0</v>
      </c>
      <c r="H3">
        <f t="shared" ref="H3:H43" si="2">(F3+G3)*100</f>
        <v>0</v>
      </c>
      <c r="I3">
        <f t="shared" ref="I3:I43" si="3">H3*E3*100</f>
        <v>0</v>
      </c>
    </row>
    <row r="4" ht="17.25" spans="1:9">
      <c r="A4" s="13" t="s">
        <v>17</v>
      </c>
      <c r="B4">
        <v>0</v>
      </c>
      <c r="C4">
        <v>0</v>
      </c>
      <c r="D4">
        <v>0</v>
      </c>
      <c r="E4">
        <f t="shared" si="0"/>
        <v>0</v>
      </c>
      <c r="F4">
        <f t="shared" ref="F4:F43" si="4">B4/1656</f>
        <v>0</v>
      </c>
      <c r="G4">
        <f t="shared" si="1"/>
        <v>0</v>
      </c>
      <c r="H4">
        <f t="shared" si="2"/>
        <v>0</v>
      </c>
      <c r="I4">
        <f t="shared" si="3"/>
        <v>0</v>
      </c>
    </row>
    <row r="5" ht="17.25" spans="1:14">
      <c r="A5" s="13" t="s">
        <v>18</v>
      </c>
      <c r="B5">
        <v>3</v>
      </c>
      <c r="C5">
        <v>6.85</v>
      </c>
      <c r="D5">
        <v>2</v>
      </c>
      <c r="E5">
        <f t="shared" si="0"/>
        <v>0.133333333333333</v>
      </c>
      <c r="F5">
        <f t="shared" si="4"/>
        <v>0.00181159420289855</v>
      </c>
      <c r="G5">
        <f t="shared" si="1"/>
        <v>7.41430256848759e-5</v>
      </c>
      <c r="H5">
        <f t="shared" si="2"/>
        <v>0.188573722858343</v>
      </c>
      <c r="I5">
        <f t="shared" si="3"/>
        <v>2.5143163047779</v>
      </c>
      <c r="N5">
        <f t="shared" ref="N3:N43" si="5">F5*LN(F5)</f>
        <v>-0.0114375870403571</v>
      </c>
    </row>
    <row r="6" ht="17.25" spans="1:9">
      <c r="A6" s="13" t="s">
        <v>19</v>
      </c>
      <c r="B6">
        <v>0</v>
      </c>
      <c r="C6">
        <v>0</v>
      </c>
      <c r="D6">
        <v>0</v>
      </c>
      <c r="E6">
        <f t="shared" si="0"/>
        <v>0</v>
      </c>
      <c r="F6">
        <f t="shared" si="4"/>
        <v>0</v>
      </c>
      <c r="G6">
        <f t="shared" si="1"/>
        <v>0</v>
      </c>
      <c r="H6">
        <f t="shared" si="2"/>
        <v>0</v>
      </c>
      <c r="I6">
        <f t="shared" si="3"/>
        <v>0</v>
      </c>
    </row>
    <row r="7" ht="17.25" spans="1:14">
      <c r="A7" s="13" t="s">
        <v>20</v>
      </c>
      <c r="B7">
        <v>167</v>
      </c>
      <c r="C7">
        <v>1502.17</v>
      </c>
      <c r="D7">
        <v>7</v>
      </c>
      <c r="E7">
        <f t="shared" si="0"/>
        <v>0.466666666666667</v>
      </c>
      <c r="F7">
        <f t="shared" si="4"/>
        <v>0.100845410628019</v>
      </c>
      <c r="G7">
        <f t="shared" si="1"/>
        <v>0.0162591866997153</v>
      </c>
      <c r="H7">
        <f t="shared" si="2"/>
        <v>11.7104597327735</v>
      </c>
      <c r="I7">
        <f t="shared" si="3"/>
        <v>546.488120862762</v>
      </c>
      <c r="N7">
        <f t="shared" si="5"/>
        <v>-0.231356165013437</v>
      </c>
    </row>
    <row r="8" ht="17.25" spans="1:14">
      <c r="A8" s="13" t="s">
        <v>21</v>
      </c>
      <c r="B8">
        <v>4</v>
      </c>
      <c r="C8">
        <v>3808.9</v>
      </c>
      <c r="D8">
        <v>4</v>
      </c>
      <c r="E8">
        <f t="shared" si="0"/>
        <v>0.266666666666667</v>
      </c>
      <c r="F8">
        <f t="shared" si="4"/>
        <v>0.00241545893719807</v>
      </c>
      <c r="G8">
        <f t="shared" si="1"/>
        <v>0.041226769420602</v>
      </c>
      <c r="H8">
        <f t="shared" si="2"/>
        <v>4.36422283578001</v>
      </c>
      <c r="I8">
        <f t="shared" si="3"/>
        <v>116.3792756208</v>
      </c>
      <c r="N8">
        <f t="shared" si="5"/>
        <v>-0.0145552318208341</v>
      </c>
    </row>
    <row r="9" ht="17.25" spans="1:14">
      <c r="A9" s="13" t="s">
        <v>22</v>
      </c>
      <c r="B9">
        <v>14</v>
      </c>
      <c r="C9">
        <v>37.92</v>
      </c>
      <c r="D9">
        <v>6</v>
      </c>
      <c r="E9">
        <f t="shared" si="0"/>
        <v>0.4</v>
      </c>
      <c r="F9">
        <f t="shared" si="4"/>
        <v>0.00845410628019324</v>
      </c>
      <c r="G9">
        <f t="shared" si="1"/>
        <v>0.000410438472112481</v>
      </c>
      <c r="H9">
        <f t="shared" si="2"/>
        <v>0.886454475230572</v>
      </c>
      <c r="I9">
        <f t="shared" si="3"/>
        <v>35.4581790092229</v>
      </c>
      <c r="N9">
        <f t="shared" si="5"/>
        <v>-0.0403523200933691</v>
      </c>
    </row>
    <row r="10" ht="17.25" spans="1:14">
      <c r="A10" s="13" t="s">
        <v>23</v>
      </c>
      <c r="B10">
        <v>1</v>
      </c>
      <c r="C10">
        <v>346.2</v>
      </c>
      <c r="D10">
        <v>1</v>
      </c>
      <c r="E10">
        <f t="shared" si="0"/>
        <v>0.0666666666666667</v>
      </c>
      <c r="F10">
        <f t="shared" si="4"/>
        <v>0.000603864734299517</v>
      </c>
      <c r="G10">
        <f t="shared" si="1"/>
        <v>0.003747199341913</v>
      </c>
      <c r="H10">
        <f t="shared" si="2"/>
        <v>0.435106407621252</v>
      </c>
      <c r="I10">
        <f t="shared" si="3"/>
        <v>2.90070938414168</v>
      </c>
      <c r="N10">
        <f t="shared" si="5"/>
        <v>-0.0044759422312471</v>
      </c>
    </row>
    <row r="11" ht="17.25" spans="1:9">
      <c r="A11" s="13" t="s">
        <v>24</v>
      </c>
      <c r="B11">
        <v>0</v>
      </c>
      <c r="C11">
        <v>0</v>
      </c>
      <c r="D11">
        <v>0</v>
      </c>
      <c r="E11">
        <f t="shared" si="0"/>
        <v>0</v>
      </c>
      <c r="F11">
        <f t="shared" si="4"/>
        <v>0</v>
      </c>
      <c r="G11">
        <f t="shared" si="1"/>
        <v>0</v>
      </c>
      <c r="H11">
        <f t="shared" si="2"/>
        <v>0</v>
      </c>
      <c r="I11">
        <f t="shared" si="3"/>
        <v>0</v>
      </c>
    </row>
    <row r="12" ht="17.25" spans="1:14">
      <c r="A12" s="13" t="s">
        <v>25</v>
      </c>
      <c r="B12">
        <v>38</v>
      </c>
      <c r="C12">
        <v>509.19</v>
      </c>
      <c r="D12">
        <v>5</v>
      </c>
      <c r="E12">
        <f t="shared" si="0"/>
        <v>0.333333333333333</v>
      </c>
      <c r="F12">
        <f t="shared" si="4"/>
        <v>0.0229468599033816</v>
      </c>
      <c r="G12">
        <f t="shared" si="1"/>
        <v>0.00551137040123824</v>
      </c>
      <c r="H12">
        <f t="shared" si="2"/>
        <v>2.84582303046199</v>
      </c>
      <c r="I12">
        <f t="shared" si="3"/>
        <v>94.8607676820662</v>
      </c>
      <c r="N12">
        <f t="shared" si="5"/>
        <v>-0.0866146247936686</v>
      </c>
    </row>
    <row r="13" ht="17.25" spans="1:14">
      <c r="A13" s="13" t="s">
        <v>26</v>
      </c>
      <c r="B13">
        <v>17</v>
      </c>
      <c r="C13">
        <v>28.9</v>
      </c>
      <c r="D13">
        <v>5</v>
      </c>
      <c r="E13">
        <f t="shared" si="0"/>
        <v>0.333333333333333</v>
      </c>
      <c r="F13">
        <f t="shared" si="4"/>
        <v>0.0102657004830918</v>
      </c>
      <c r="G13">
        <f t="shared" si="1"/>
        <v>0.000312807801794586</v>
      </c>
      <c r="H13">
        <f t="shared" si="2"/>
        <v>1.05785082848864</v>
      </c>
      <c r="I13">
        <f t="shared" si="3"/>
        <v>35.2616942829545</v>
      </c>
      <c r="N13">
        <f t="shared" si="5"/>
        <v>-0.0470060983364208</v>
      </c>
    </row>
    <row r="14" ht="17.25" spans="1:14">
      <c r="A14" s="13" t="s">
        <v>27</v>
      </c>
      <c r="B14">
        <v>5</v>
      </c>
      <c r="C14">
        <v>143.81</v>
      </c>
      <c r="D14">
        <v>2</v>
      </c>
      <c r="E14">
        <f t="shared" si="0"/>
        <v>0.133333333333333</v>
      </c>
      <c r="F14">
        <f t="shared" si="4"/>
        <v>0.00301932367149758</v>
      </c>
      <c r="G14">
        <f t="shared" si="1"/>
        <v>0.00155657058740759</v>
      </c>
      <c r="H14">
        <f t="shared" si="2"/>
        <v>0.457589425890517</v>
      </c>
      <c r="I14">
        <f t="shared" si="3"/>
        <v>6.10119234520688</v>
      </c>
      <c r="N14">
        <f t="shared" si="5"/>
        <v>-0.0175202971694176</v>
      </c>
    </row>
    <row r="15" ht="17.25" spans="1:14">
      <c r="A15" s="13" t="s">
        <v>28</v>
      </c>
      <c r="B15">
        <v>1</v>
      </c>
      <c r="C15">
        <v>109.88</v>
      </c>
      <c r="D15">
        <v>1</v>
      </c>
      <c r="E15">
        <f t="shared" si="0"/>
        <v>0.0666666666666667</v>
      </c>
      <c r="F15">
        <f t="shared" si="4"/>
        <v>0.000603864734299517</v>
      </c>
      <c r="G15">
        <f t="shared" si="1"/>
        <v>0.00118931907478163</v>
      </c>
      <c r="H15">
        <f t="shared" si="2"/>
        <v>0.179318380908115</v>
      </c>
      <c r="I15">
        <f t="shared" si="3"/>
        <v>1.19545587272077</v>
      </c>
      <c r="N15">
        <f t="shared" si="5"/>
        <v>-0.0044759422312471</v>
      </c>
    </row>
    <row r="16" ht="17.25" spans="1:14">
      <c r="A16" s="13" t="s">
        <v>29</v>
      </c>
      <c r="B16">
        <v>3</v>
      </c>
      <c r="C16">
        <v>202.55</v>
      </c>
      <c r="D16">
        <v>2</v>
      </c>
      <c r="E16">
        <f t="shared" si="0"/>
        <v>0.133333333333333</v>
      </c>
      <c r="F16">
        <f t="shared" si="4"/>
        <v>0.00181159420289855</v>
      </c>
      <c r="G16">
        <f t="shared" si="1"/>
        <v>0.00219236056240462</v>
      </c>
      <c r="H16">
        <f t="shared" si="2"/>
        <v>0.400395476530317</v>
      </c>
      <c r="I16">
        <f t="shared" si="3"/>
        <v>5.33860635373755</v>
      </c>
      <c r="N16">
        <f t="shared" si="5"/>
        <v>-0.0114375870403571</v>
      </c>
    </row>
    <row r="17" ht="17.25" spans="1:14">
      <c r="A17" s="13" t="s">
        <v>30</v>
      </c>
      <c r="B17">
        <v>16</v>
      </c>
      <c r="C17">
        <v>102.42</v>
      </c>
      <c r="D17">
        <v>5</v>
      </c>
      <c r="E17">
        <f t="shared" si="0"/>
        <v>0.333333333333333</v>
      </c>
      <c r="F17">
        <f t="shared" si="4"/>
        <v>0.00966183574879227</v>
      </c>
      <c r="G17">
        <f t="shared" si="1"/>
        <v>0.00110857353148102</v>
      </c>
      <c r="H17">
        <f t="shared" si="2"/>
        <v>1.07704092802733</v>
      </c>
      <c r="I17">
        <f t="shared" si="3"/>
        <v>35.9013642675776</v>
      </c>
      <c r="N17">
        <f t="shared" si="5"/>
        <v>-0.0448267788667191</v>
      </c>
    </row>
    <row r="18" ht="17.25" spans="1:14">
      <c r="A18" s="13" t="s">
        <v>31</v>
      </c>
      <c r="B18" s="7">
        <v>205</v>
      </c>
      <c r="C18" s="7">
        <v>1407.1</v>
      </c>
      <c r="D18" s="7">
        <v>11</v>
      </c>
      <c r="E18" s="7">
        <f t="shared" si="0"/>
        <v>0.733333333333333</v>
      </c>
      <c r="F18" s="7">
        <f t="shared" si="4"/>
        <v>0.123792270531401</v>
      </c>
      <c r="G18" s="7">
        <f t="shared" si="1"/>
        <v>0.0152301680936042</v>
      </c>
      <c r="H18" s="7">
        <f t="shared" si="2"/>
        <v>13.9022438625005</v>
      </c>
      <c r="I18" s="7">
        <f t="shared" si="3"/>
        <v>1019.49788325004</v>
      </c>
      <c r="J18" s="3" t="s">
        <v>32</v>
      </c>
      <c r="N18">
        <f t="shared" si="5"/>
        <v>-0.258620666026808</v>
      </c>
    </row>
    <row r="19" ht="17.25" spans="1:14">
      <c r="A19" s="13" t="s">
        <v>33</v>
      </c>
      <c r="B19" s="7">
        <v>106</v>
      </c>
      <c r="C19" s="7">
        <v>14629</v>
      </c>
      <c r="D19" s="7">
        <v>11</v>
      </c>
      <c r="E19" s="7">
        <f t="shared" si="0"/>
        <v>0.733333333333333</v>
      </c>
      <c r="F19" s="7">
        <f t="shared" si="4"/>
        <v>0.0640096618357488</v>
      </c>
      <c r="G19" s="7">
        <f t="shared" si="1"/>
        <v>0.158341360984533</v>
      </c>
      <c r="H19" s="7">
        <f t="shared" si="2"/>
        <v>22.2351022820282</v>
      </c>
      <c r="I19" s="7">
        <f t="shared" si="3"/>
        <v>1630.57416734873</v>
      </c>
      <c r="J19" s="3" t="s">
        <v>32</v>
      </c>
      <c r="N19">
        <f t="shared" si="5"/>
        <v>-0.175944717106469</v>
      </c>
    </row>
    <row r="20" ht="17.25" spans="1:14">
      <c r="A20" s="13" t="s">
        <v>34</v>
      </c>
      <c r="B20">
        <v>22</v>
      </c>
      <c r="C20">
        <v>16.33</v>
      </c>
      <c r="D20">
        <v>8</v>
      </c>
      <c r="E20">
        <f t="shared" si="0"/>
        <v>0.533333333333333</v>
      </c>
      <c r="F20">
        <f t="shared" si="4"/>
        <v>0.0132850241545894</v>
      </c>
      <c r="G20">
        <f t="shared" si="1"/>
        <v>0.000176752643712996</v>
      </c>
      <c r="H20">
        <f t="shared" si="2"/>
        <v>1.34617767983024</v>
      </c>
      <c r="I20">
        <f t="shared" si="3"/>
        <v>71.7961429242793</v>
      </c>
      <c r="N20">
        <f t="shared" si="5"/>
        <v>-0.0574061554317099</v>
      </c>
    </row>
    <row r="21" ht="17.25" spans="1:14">
      <c r="A21" s="13" t="s">
        <v>35</v>
      </c>
      <c r="B21" s="7">
        <v>141</v>
      </c>
      <c r="C21" s="7">
        <v>3741.65</v>
      </c>
      <c r="D21" s="7">
        <v>12</v>
      </c>
      <c r="E21" s="7">
        <f t="shared" si="0"/>
        <v>0.8</v>
      </c>
      <c r="F21" s="7">
        <f t="shared" si="4"/>
        <v>0.0851449275362319</v>
      </c>
      <c r="G21" s="7">
        <f t="shared" si="1"/>
        <v>0.0404988689129658</v>
      </c>
      <c r="H21" s="7">
        <f t="shared" si="2"/>
        <v>12.5643796449198</v>
      </c>
      <c r="I21" s="7">
        <f t="shared" si="3"/>
        <v>1005.15037159358</v>
      </c>
      <c r="J21" s="3" t="s">
        <v>32</v>
      </c>
      <c r="N21">
        <f t="shared" si="5"/>
        <v>-0.209746052345382</v>
      </c>
    </row>
    <row r="22" ht="17.25" spans="1:9">
      <c r="A22" s="13" t="s">
        <v>36</v>
      </c>
      <c r="B22">
        <v>0</v>
      </c>
      <c r="C22">
        <v>0</v>
      </c>
      <c r="D22">
        <v>0</v>
      </c>
      <c r="E22">
        <f t="shared" si="0"/>
        <v>0</v>
      </c>
      <c r="F22">
        <f t="shared" si="4"/>
        <v>0</v>
      </c>
      <c r="G22">
        <f t="shared" si="1"/>
        <v>0</v>
      </c>
      <c r="H22">
        <f t="shared" si="2"/>
        <v>0</v>
      </c>
      <c r="I22">
        <f t="shared" si="3"/>
        <v>0</v>
      </c>
    </row>
    <row r="23" ht="17.25" spans="1:14">
      <c r="A23" s="13" t="s">
        <v>37</v>
      </c>
      <c r="B23">
        <v>15</v>
      </c>
      <c r="C23">
        <v>4381.2</v>
      </c>
      <c r="D23">
        <v>4</v>
      </c>
      <c r="E23">
        <f t="shared" si="0"/>
        <v>0.266666666666667</v>
      </c>
      <c r="F23">
        <f t="shared" si="4"/>
        <v>0.00905797101449275</v>
      </c>
      <c r="G23">
        <f t="shared" si="1"/>
        <v>0.0474212298000844</v>
      </c>
      <c r="H23">
        <f t="shared" si="2"/>
        <v>5.64792008145772</v>
      </c>
      <c r="I23">
        <f t="shared" si="3"/>
        <v>150.611202172206</v>
      </c>
      <c r="N23">
        <f t="shared" si="5"/>
        <v>-0.0426096932413315</v>
      </c>
    </row>
    <row r="24" s="7" customFormat="1" ht="17.25" spans="1:14">
      <c r="A24" s="13" t="s">
        <v>38</v>
      </c>
      <c r="B24" s="7">
        <v>55</v>
      </c>
      <c r="C24" s="7">
        <v>50075</v>
      </c>
      <c r="D24" s="7">
        <v>10</v>
      </c>
      <c r="E24" s="7">
        <f t="shared" si="0"/>
        <v>0.666666666666667</v>
      </c>
      <c r="F24" s="7">
        <f t="shared" si="4"/>
        <v>0.0332125603864734</v>
      </c>
      <c r="G24" s="7">
        <f t="shared" si="1"/>
        <v>0.542001753455498</v>
      </c>
      <c r="H24" s="7">
        <f t="shared" si="2"/>
        <v>57.5214313841971</v>
      </c>
      <c r="I24" s="7">
        <f t="shared" si="3"/>
        <v>3834.76209227981</v>
      </c>
      <c r="J24" s="3" t="s">
        <v>32</v>
      </c>
      <c r="N24">
        <f t="shared" si="5"/>
        <v>-0.113083027315338</v>
      </c>
    </row>
    <row r="25" ht="17.25" spans="1:14">
      <c r="A25" s="13" t="s">
        <v>39</v>
      </c>
      <c r="B25">
        <v>5</v>
      </c>
      <c r="C25">
        <v>4645.54</v>
      </c>
      <c r="D25">
        <v>3</v>
      </c>
      <c r="E25">
        <f t="shared" si="0"/>
        <v>0.2</v>
      </c>
      <c r="F25">
        <f t="shared" si="4"/>
        <v>0.00301932367149758</v>
      </c>
      <c r="G25">
        <f t="shared" si="1"/>
        <v>0.0502823929255647</v>
      </c>
      <c r="H25">
        <f t="shared" si="2"/>
        <v>5.33017165970623</v>
      </c>
      <c r="I25">
        <f t="shared" si="3"/>
        <v>106.603433194125</v>
      </c>
      <c r="N25">
        <f t="shared" si="5"/>
        <v>-0.0175202971694176</v>
      </c>
    </row>
    <row r="26" ht="17.25" spans="1:14">
      <c r="A26" s="13" t="s">
        <v>40</v>
      </c>
      <c r="B26">
        <v>33</v>
      </c>
      <c r="C26">
        <v>63.48</v>
      </c>
      <c r="D26">
        <v>9</v>
      </c>
      <c r="E26">
        <f t="shared" si="0"/>
        <v>0.6</v>
      </c>
      <c r="F26">
        <f t="shared" si="4"/>
        <v>0.0199275362318841</v>
      </c>
      <c r="G26">
        <f t="shared" si="1"/>
        <v>0.000687094784011084</v>
      </c>
      <c r="H26">
        <f t="shared" si="2"/>
        <v>2.06146310158951</v>
      </c>
      <c r="I26">
        <f t="shared" si="3"/>
        <v>123.687786095371</v>
      </c>
      <c r="N26">
        <f t="shared" si="5"/>
        <v>-0.0780293125149746</v>
      </c>
    </row>
    <row r="27" ht="17.25" spans="1:14">
      <c r="A27" s="13" t="s">
        <v>41</v>
      </c>
      <c r="B27">
        <v>7</v>
      </c>
      <c r="C27">
        <v>7.59</v>
      </c>
      <c r="D27">
        <v>7</v>
      </c>
      <c r="E27">
        <f t="shared" si="0"/>
        <v>0.466666666666667</v>
      </c>
      <c r="F27">
        <f t="shared" si="4"/>
        <v>0.00422705314009662</v>
      </c>
      <c r="G27">
        <f t="shared" si="1"/>
        <v>8.21526372187165e-5</v>
      </c>
      <c r="H27">
        <f t="shared" si="2"/>
        <v>0.430920577731533</v>
      </c>
      <c r="I27">
        <f t="shared" si="3"/>
        <v>20.1096269608049</v>
      </c>
      <c r="N27">
        <f t="shared" si="5"/>
        <v>-0.0231061300128196</v>
      </c>
    </row>
    <row r="28" ht="17.25" spans="1:14">
      <c r="A28" s="13" t="s">
        <v>42</v>
      </c>
      <c r="B28">
        <v>1</v>
      </c>
      <c r="C28">
        <v>1369.4</v>
      </c>
      <c r="D28">
        <v>1</v>
      </c>
      <c r="E28">
        <f t="shared" si="0"/>
        <v>0.0666666666666667</v>
      </c>
      <c r="F28">
        <f t="shared" si="4"/>
        <v>0.000603864734299517</v>
      </c>
      <c r="G28">
        <f t="shared" si="1"/>
        <v>0.0148221108573531</v>
      </c>
      <c r="H28">
        <f t="shared" si="2"/>
        <v>1.54259755916526</v>
      </c>
      <c r="I28">
        <f t="shared" si="3"/>
        <v>10.2839837277684</v>
      </c>
      <c r="N28">
        <f t="shared" si="5"/>
        <v>-0.0044759422312471</v>
      </c>
    </row>
    <row r="29" ht="17.25" spans="1:14">
      <c r="A29" s="13" t="s">
        <v>43</v>
      </c>
      <c r="B29">
        <v>1</v>
      </c>
      <c r="C29">
        <v>234.82</v>
      </c>
      <c r="D29">
        <v>1</v>
      </c>
      <c r="E29">
        <f t="shared" si="0"/>
        <v>0.0666666666666667</v>
      </c>
      <c r="F29">
        <f t="shared" si="4"/>
        <v>0.000603864734299517</v>
      </c>
      <c r="G29">
        <f t="shared" si="1"/>
        <v>0.00254164456807629</v>
      </c>
      <c r="H29">
        <f t="shared" si="2"/>
        <v>0.314550930237581</v>
      </c>
      <c r="I29">
        <f t="shared" si="3"/>
        <v>2.09700620158387</v>
      </c>
      <c r="N29">
        <f t="shared" si="5"/>
        <v>-0.0044759422312471</v>
      </c>
    </row>
    <row r="30" ht="17.25" spans="1:14">
      <c r="A30" s="13" t="s">
        <v>44</v>
      </c>
      <c r="B30">
        <v>2</v>
      </c>
      <c r="C30">
        <v>640.26</v>
      </c>
      <c r="D30">
        <v>2</v>
      </c>
      <c r="E30">
        <f t="shared" si="0"/>
        <v>0.133333333333333</v>
      </c>
      <c r="F30">
        <f t="shared" si="4"/>
        <v>0.00120772946859903</v>
      </c>
      <c r="G30">
        <f t="shared" si="1"/>
        <v>0.00693004578467133</v>
      </c>
      <c r="H30">
        <f t="shared" si="2"/>
        <v>0.813777525327036</v>
      </c>
      <c r="I30">
        <f t="shared" si="3"/>
        <v>10.8503670043605</v>
      </c>
      <c r="N30">
        <f t="shared" si="5"/>
        <v>-0.00811475018645563</v>
      </c>
    </row>
    <row r="31" ht="17.25" spans="1:9">
      <c r="A31" s="13" t="s">
        <v>45</v>
      </c>
      <c r="B31">
        <v>0</v>
      </c>
      <c r="C31">
        <v>0</v>
      </c>
      <c r="D31">
        <v>0</v>
      </c>
      <c r="E31">
        <f t="shared" si="0"/>
        <v>0</v>
      </c>
      <c r="F31">
        <f t="shared" si="4"/>
        <v>0</v>
      </c>
      <c r="G31">
        <f t="shared" si="1"/>
        <v>0</v>
      </c>
      <c r="H31">
        <f t="shared" si="2"/>
        <v>0</v>
      </c>
      <c r="I31">
        <f t="shared" si="3"/>
        <v>0</v>
      </c>
    </row>
    <row r="32" ht="17.25" spans="1:9">
      <c r="A32" s="13" t="s">
        <v>46</v>
      </c>
      <c r="B32">
        <v>0</v>
      </c>
      <c r="C32">
        <v>0</v>
      </c>
      <c r="D32">
        <v>0</v>
      </c>
      <c r="E32">
        <f t="shared" si="0"/>
        <v>0</v>
      </c>
      <c r="F32">
        <f t="shared" si="4"/>
        <v>0</v>
      </c>
      <c r="G32">
        <f t="shared" si="1"/>
        <v>0</v>
      </c>
      <c r="H32">
        <f t="shared" si="2"/>
        <v>0</v>
      </c>
      <c r="I32">
        <f t="shared" si="3"/>
        <v>0</v>
      </c>
    </row>
    <row r="33" ht="17.25" spans="1:9">
      <c r="A33" s="13" t="s">
        <v>47</v>
      </c>
      <c r="B33">
        <v>0</v>
      </c>
      <c r="C33">
        <v>0</v>
      </c>
      <c r="D33">
        <v>0</v>
      </c>
      <c r="E33">
        <f t="shared" si="0"/>
        <v>0</v>
      </c>
      <c r="F33">
        <f t="shared" si="4"/>
        <v>0</v>
      </c>
      <c r="G33">
        <f t="shared" si="1"/>
        <v>0</v>
      </c>
      <c r="H33">
        <f t="shared" si="2"/>
        <v>0</v>
      </c>
      <c r="I33">
        <f t="shared" si="3"/>
        <v>0</v>
      </c>
    </row>
    <row r="34" ht="17.25" spans="1:9">
      <c r="A34" s="13" t="s">
        <v>48</v>
      </c>
      <c r="B34">
        <v>0</v>
      </c>
      <c r="C34">
        <v>0</v>
      </c>
      <c r="D34">
        <v>0</v>
      </c>
      <c r="E34">
        <f t="shared" si="0"/>
        <v>0</v>
      </c>
      <c r="F34">
        <f t="shared" si="4"/>
        <v>0</v>
      </c>
      <c r="G34">
        <f t="shared" si="1"/>
        <v>0</v>
      </c>
      <c r="H34">
        <f t="shared" si="2"/>
        <v>0</v>
      </c>
      <c r="I34">
        <f t="shared" si="3"/>
        <v>0</v>
      </c>
    </row>
    <row r="35" ht="17.25" spans="1:14">
      <c r="A35" s="13" t="s">
        <v>49</v>
      </c>
      <c r="B35">
        <v>1</v>
      </c>
      <c r="C35">
        <v>405.8</v>
      </c>
      <c r="D35">
        <v>1</v>
      </c>
      <c r="E35">
        <f t="shared" si="0"/>
        <v>0.0666666666666667</v>
      </c>
      <c r="F35">
        <f t="shared" si="4"/>
        <v>0.000603864734299517</v>
      </c>
      <c r="G35">
        <f t="shared" si="1"/>
        <v>0.00439229778436827</v>
      </c>
      <c r="H35">
        <f t="shared" si="2"/>
        <v>0.499616251866779</v>
      </c>
      <c r="I35">
        <f t="shared" si="3"/>
        <v>3.33077501244519</v>
      </c>
      <c r="N35">
        <f t="shared" si="5"/>
        <v>-0.0044759422312471</v>
      </c>
    </row>
    <row r="36" ht="17.25" spans="1:9">
      <c r="A36" s="13" t="s">
        <v>50</v>
      </c>
      <c r="B36">
        <v>0</v>
      </c>
      <c r="C36">
        <v>0</v>
      </c>
      <c r="D36">
        <v>0</v>
      </c>
      <c r="E36">
        <f t="shared" si="0"/>
        <v>0</v>
      </c>
      <c r="F36">
        <f t="shared" si="4"/>
        <v>0</v>
      </c>
      <c r="G36">
        <f t="shared" si="1"/>
        <v>0</v>
      </c>
      <c r="H36">
        <f t="shared" si="2"/>
        <v>0</v>
      </c>
      <c r="I36">
        <f t="shared" si="3"/>
        <v>0</v>
      </c>
    </row>
    <row r="37" ht="17.25" spans="1:9">
      <c r="A37" s="13" t="s">
        <v>51</v>
      </c>
      <c r="B37">
        <v>0</v>
      </c>
      <c r="C37">
        <v>0</v>
      </c>
      <c r="D37">
        <v>0</v>
      </c>
      <c r="E37">
        <f t="shared" si="0"/>
        <v>0</v>
      </c>
      <c r="F37">
        <f t="shared" si="4"/>
        <v>0</v>
      </c>
      <c r="G37">
        <f t="shared" si="1"/>
        <v>0</v>
      </c>
      <c r="H37">
        <f t="shared" si="2"/>
        <v>0</v>
      </c>
      <c r="I37">
        <f t="shared" si="3"/>
        <v>0</v>
      </c>
    </row>
    <row r="38" ht="17.25" spans="1:9">
      <c r="A38" s="13" t="s">
        <v>52</v>
      </c>
      <c r="B38">
        <v>0</v>
      </c>
      <c r="C38">
        <v>0</v>
      </c>
      <c r="D38">
        <v>0</v>
      </c>
      <c r="E38">
        <f t="shared" si="0"/>
        <v>0</v>
      </c>
      <c r="F38">
        <f t="shared" si="4"/>
        <v>0</v>
      </c>
      <c r="G38">
        <f t="shared" si="1"/>
        <v>0</v>
      </c>
      <c r="H38">
        <f t="shared" si="2"/>
        <v>0</v>
      </c>
      <c r="I38">
        <f t="shared" si="3"/>
        <v>0</v>
      </c>
    </row>
    <row r="39" s="7" customFormat="1" ht="17.25" spans="1:14">
      <c r="A39" s="13" t="s">
        <v>53</v>
      </c>
      <c r="B39" s="7">
        <v>731</v>
      </c>
      <c r="C39" s="7">
        <v>3436.31</v>
      </c>
      <c r="D39" s="7">
        <v>9</v>
      </c>
      <c r="E39" s="7">
        <f t="shared" si="0"/>
        <v>0.6</v>
      </c>
      <c r="F39" s="7">
        <f t="shared" si="4"/>
        <v>0.441425120772947</v>
      </c>
      <c r="G39" s="7">
        <f t="shared" si="1"/>
        <v>0.0371939300133133</v>
      </c>
      <c r="H39" s="7">
        <f t="shared" si="2"/>
        <v>47.861905078626</v>
      </c>
      <c r="I39" s="7">
        <f t="shared" si="3"/>
        <v>2871.71430471756</v>
      </c>
      <c r="J39" s="7" t="s">
        <v>54</v>
      </c>
      <c r="N39">
        <f t="shared" si="5"/>
        <v>-0.360974013144841</v>
      </c>
    </row>
    <row r="40" ht="17.25" spans="1:9">
      <c r="A40" s="13" t="s">
        <v>55</v>
      </c>
      <c r="B40">
        <v>0</v>
      </c>
      <c r="C40">
        <v>0</v>
      </c>
      <c r="D40">
        <v>0</v>
      </c>
      <c r="E40">
        <f t="shared" si="0"/>
        <v>0</v>
      </c>
      <c r="F40">
        <f t="shared" si="4"/>
        <v>0</v>
      </c>
      <c r="G40">
        <f t="shared" si="1"/>
        <v>0</v>
      </c>
      <c r="H40">
        <f t="shared" si="2"/>
        <v>0</v>
      </c>
      <c r="I40">
        <f t="shared" si="3"/>
        <v>0</v>
      </c>
    </row>
    <row r="41" ht="17.25" spans="1:14">
      <c r="A41" s="13" t="s">
        <v>56</v>
      </c>
      <c r="B41">
        <v>2</v>
      </c>
      <c r="C41">
        <v>0.98</v>
      </c>
      <c r="D41">
        <v>1</v>
      </c>
      <c r="E41">
        <f t="shared" si="0"/>
        <v>0.0666666666666667</v>
      </c>
      <c r="F41">
        <f t="shared" si="4"/>
        <v>0.00120772946859903</v>
      </c>
      <c r="G41">
        <f t="shared" si="1"/>
        <v>1.06073233826538e-5</v>
      </c>
      <c r="H41">
        <f t="shared" si="2"/>
        <v>0.121833679198169</v>
      </c>
      <c r="I41">
        <f t="shared" si="3"/>
        <v>0.812224527987792</v>
      </c>
      <c r="N41">
        <f t="shared" si="5"/>
        <v>-0.00811475018645563</v>
      </c>
    </row>
    <row r="42" ht="17.25" spans="1:9">
      <c r="A42" s="13" t="s">
        <v>57</v>
      </c>
      <c r="B42">
        <v>0</v>
      </c>
      <c r="C42">
        <v>0</v>
      </c>
      <c r="D42">
        <v>0</v>
      </c>
      <c r="E42">
        <f t="shared" si="0"/>
        <v>0</v>
      </c>
      <c r="F42">
        <f t="shared" si="4"/>
        <v>0</v>
      </c>
      <c r="G42">
        <f t="shared" si="1"/>
        <v>0</v>
      </c>
      <c r="H42">
        <f t="shared" si="2"/>
        <v>0</v>
      </c>
      <c r="I42">
        <f t="shared" si="3"/>
        <v>0</v>
      </c>
    </row>
    <row r="43" ht="17.25" spans="1:9">
      <c r="A43" s="13" t="s">
        <v>58</v>
      </c>
      <c r="B43">
        <v>0</v>
      </c>
      <c r="C43">
        <v>0</v>
      </c>
      <c r="D43">
        <v>0</v>
      </c>
      <c r="E43">
        <f t="shared" si="0"/>
        <v>0</v>
      </c>
      <c r="F43">
        <f t="shared" si="4"/>
        <v>0</v>
      </c>
      <c r="G43">
        <f t="shared" si="1"/>
        <v>0</v>
      </c>
      <c r="H43">
        <f t="shared" si="2"/>
        <v>0</v>
      </c>
      <c r="I43">
        <f t="shared" si="3"/>
        <v>0</v>
      </c>
    </row>
    <row r="59" ht="17.25" spans="10:10">
      <c r="J59" s="13" t="s">
        <v>15</v>
      </c>
    </row>
    <row r="60" ht="17.25" spans="10:10">
      <c r="J60" s="13" t="s">
        <v>16</v>
      </c>
    </row>
    <row r="61" ht="17.25" spans="10:10">
      <c r="J61" s="13" t="s">
        <v>17</v>
      </c>
    </row>
    <row r="62" ht="17.25" spans="10:10">
      <c r="J62" s="13" t="s">
        <v>18</v>
      </c>
    </row>
    <row r="63" ht="17.25" spans="10:10">
      <c r="J63" s="13" t="s">
        <v>19</v>
      </c>
    </row>
    <row r="64" ht="17.25" spans="10:10">
      <c r="J64" s="13" t="s">
        <v>20</v>
      </c>
    </row>
    <row r="65" ht="17.25" spans="10:10">
      <c r="J65" s="13" t="s">
        <v>21</v>
      </c>
    </row>
    <row r="66" ht="17.25" spans="10:10">
      <c r="J66" s="13" t="s">
        <v>22</v>
      </c>
    </row>
    <row r="67" ht="17.25" spans="10:10">
      <c r="J67" s="13" t="s">
        <v>23</v>
      </c>
    </row>
    <row r="68" ht="17.25" spans="10:10">
      <c r="J68" s="13" t="s">
        <v>24</v>
      </c>
    </row>
    <row r="69" ht="17.25" spans="10:10">
      <c r="J69" s="13" t="s">
        <v>25</v>
      </c>
    </row>
    <row r="70" ht="17.25" spans="10:10">
      <c r="J70" s="13" t="s">
        <v>26</v>
      </c>
    </row>
    <row r="71" ht="17.25" spans="10:10">
      <c r="J71" s="13" t="s">
        <v>27</v>
      </c>
    </row>
    <row r="72" ht="17.25" spans="10:10">
      <c r="J72" s="13" t="s">
        <v>28</v>
      </c>
    </row>
    <row r="73" ht="17.25" spans="10:10">
      <c r="J73" s="13" t="s">
        <v>29</v>
      </c>
    </row>
    <row r="74" ht="17.25" spans="10:10">
      <c r="J74" s="13" t="s">
        <v>30</v>
      </c>
    </row>
    <row r="75" ht="17.25" spans="10:10">
      <c r="J75" s="13" t="s">
        <v>31</v>
      </c>
    </row>
    <row r="76" ht="17.25" spans="10:10">
      <c r="J76" s="13" t="s">
        <v>33</v>
      </c>
    </row>
    <row r="77" ht="17.25" spans="10:10">
      <c r="J77" s="13" t="s">
        <v>34</v>
      </c>
    </row>
    <row r="78" ht="17.25" spans="10:10">
      <c r="J78" s="13" t="s">
        <v>35</v>
      </c>
    </row>
    <row r="79" ht="17.25" spans="10:10">
      <c r="J79" s="13" t="s">
        <v>36</v>
      </c>
    </row>
    <row r="80" ht="17.25" spans="10:10">
      <c r="J80" s="13" t="s">
        <v>37</v>
      </c>
    </row>
    <row r="81" ht="17.25" spans="10:10">
      <c r="J81" s="13" t="s">
        <v>38</v>
      </c>
    </row>
    <row r="82" ht="17.25" spans="10:10">
      <c r="J82" s="13" t="s">
        <v>39</v>
      </c>
    </row>
    <row r="83" ht="17.25" spans="10:10">
      <c r="J83" s="13" t="s">
        <v>40</v>
      </c>
    </row>
    <row r="84" ht="17.25" spans="10:10">
      <c r="J84" s="13" t="s">
        <v>41</v>
      </c>
    </row>
    <row r="85" ht="17.25" spans="10:10">
      <c r="J85" s="13" t="s">
        <v>42</v>
      </c>
    </row>
    <row r="86" ht="17.25" spans="10:10">
      <c r="J86" s="13" t="s">
        <v>43</v>
      </c>
    </row>
    <row r="87" ht="17.25" spans="10:10">
      <c r="J87" s="13" t="s">
        <v>44</v>
      </c>
    </row>
    <row r="88" ht="17.25" spans="10:10">
      <c r="J88" s="13" t="s">
        <v>45</v>
      </c>
    </row>
    <row r="89" ht="17.25" spans="10:10">
      <c r="J89" s="13" t="s">
        <v>46</v>
      </c>
    </row>
    <row r="90" ht="17.25" spans="10:10">
      <c r="J90" s="13" t="s">
        <v>47</v>
      </c>
    </row>
    <row r="91" ht="17.25" spans="10:10">
      <c r="J91" s="13" t="s">
        <v>48</v>
      </c>
    </row>
    <row r="92" ht="17.25" spans="10:10">
      <c r="J92" s="13" t="s">
        <v>59</v>
      </c>
    </row>
    <row r="93" ht="17.25" spans="10:10">
      <c r="J93" s="13" t="s">
        <v>50</v>
      </c>
    </row>
    <row r="94" ht="17.25" spans="10:10">
      <c r="J94" s="13" t="s">
        <v>51</v>
      </c>
    </row>
    <row r="95" ht="17.25" spans="10:10">
      <c r="J95" s="13" t="s">
        <v>52</v>
      </c>
    </row>
    <row r="96" ht="17.25" spans="10:10">
      <c r="J96" s="13" t="s">
        <v>53</v>
      </c>
    </row>
    <row r="97" ht="17.25" spans="10:10">
      <c r="J97" s="13" t="s">
        <v>55</v>
      </c>
    </row>
    <row r="98" ht="17.25" spans="10:10">
      <c r="J98" s="13" t="s">
        <v>56</v>
      </c>
    </row>
    <row r="99" ht="17.25" spans="10:10">
      <c r="J99" s="13" t="s">
        <v>57</v>
      </c>
    </row>
    <row r="100" ht="17.25" spans="10:10">
      <c r="J100" s="13" t="s">
        <v>58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A2" sqref="A2:A16"/>
    </sheetView>
  </sheetViews>
  <sheetFormatPr defaultColWidth="8.89166666666667" defaultRowHeight="13.5"/>
  <cols>
    <col min="6" max="9" width="12.8916666666667"/>
    <col min="13" max="13" width="14.1083333333333"/>
    <col min="14" max="16" width="12.8916666666667"/>
  </cols>
  <sheetData>
    <row r="1" ht="17.25" spans="1:16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3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ht="17.25" spans="1:16">
      <c r="A2" s="8" t="s">
        <v>15</v>
      </c>
      <c r="B2">
        <v>29</v>
      </c>
      <c r="C2">
        <v>35.26</v>
      </c>
      <c r="D2">
        <v>2</v>
      </c>
      <c r="E2">
        <f t="shared" ref="E2:E16" si="0">D2/4</f>
        <v>0.5</v>
      </c>
      <c r="F2">
        <f t="shared" ref="F2:F16" si="1">B2/688</f>
        <v>0.0421511627906977</v>
      </c>
      <c r="G2">
        <f t="shared" ref="G2:G16" si="2">C2/46293</f>
        <v>0.000761670230920442</v>
      </c>
      <c r="H2">
        <f t="shared" ref="H2:H16" si="3">(F2+G2)*100</f>
        <v>4.29128330216181</v>
      </c>
      <c r="I2">
        <f t="shared" ref="I2:I16" si="4">H2*E2*100</f>
        <v>214.564165108091</v>
      </c>
      <c r="K2">
        <v>46293</v>
      </c>
      <c r="L2">
        <v>688</v>
      </c>
      <c r="M2">
        <f>F2*LN(F2)</f>
        <v>-0.133471362253574</v>
      </c>
      <c r="P2">
        <f>F2*F2</f>
        <v>0.0017767205246079</v>
      </c>
    </row>
    <row r="3" ht="17.25" spans="1:16">
      <c r="A3" s="8" t="s">
        <v>60</v>
      </c>
      <c r="B3">
        <v>3</v>
      </c>
      <c r="C3">
        <v>4.69</v>
      </c>
      <c r="D3">
        <v>1</v>
      </c>
      <c r="E3">
        <f t="shared" si="0"/>
        <v>0.25</v>
      </c>
      <c r="F3">
        <f t="shared" si="1"/>
        <v>0.00436046511627907</v>
      </c>
      <c r="G3">
        <f t="shared" si="2"/>
        <v>0.000101311213358391</v>
      </c>
      <c r="H3">
        <f t="shared" si="3"/>
        <v>0.446177632963746</v>
      </c>
      <c r="I3">
        <f t="shared" si="4"/>
        <v>11.1544408240937</v>
      </c>
      <c r="M3">
        <f t="shared" ref="M3:M16" si="5">F3*LN(F3)</f>
        <v>-0.0236998977438891</v>
      </c>
      <c r="P3">
        <f t="shared" ref="P3:P16" si="6">F3*F3</f>
        <v>1.90136560302866e-5</v>
      </c>
    </row>
    <row r="4" ht="17.25" spans="1:16">
      <c r="A4" s="8" t="s">
        <v>17</v>
      </c>
      <c r="B4">
        <v>1</v>
      </c>
      <c r="C4">
        <v>1.32</v>
      </c>
      <c r="D4">
        <v>1</v>
      </c>
      <c r="E4">
        <f t="shared" si="0"/>
        <v>0.25</v>
      </c>
      <c r="F4">
        <f t="shared" si="1"/>
        <v>0.00145348837209302</v>
      </c>
      <c r="G4">
        <f t="shared" si="2"/>
        <v>2.85140301989502e-5</v>
      </c>
      <c r="H4">
        <f t="shared" si="3"/>
        <v>0.148200240229197</v>
      </c>
      <c r="I4">
        <f t="shared" si="4"/>
        <v>3.70500600572993</v>
      </c>
      <c r="M4">
        <f t="shared" si="5"/>
        <v>-0.0094967861016473</v>
      </c>
      <c r="P4">
        <f t="shared" si="6"/>
        <v>2.11262844780963e-6</v>
      </c>
    </row>
    <row r="5" ht="17.25" spans="1:16">
      <c r="A5" s="8" t="s">
        <v>27</v>
      </c>
      <c r="B5">
        <v>1</v>
      </c>
      <c r="C5">
        <v>80.86</v>
      </c>
      <c r="D5">
        <v>1</v>
      </c>
      <c r="E5">
        <f t="shared" si="0"/>
        <v>0.25</v>
      </c>
      <c r="F5">
        <f t="shared" si="1"/>
        <v>0.00145348837209302</v>
      </c>
      <c r="G5">
        <f t="shared" si="2"/>
        <v>0.00174670036506599</v>
      </c>
      <c r="H5">
        <f t="shared" si="3"/>
        <v>0.320018873715902</v>
      </c>
      <c r="I5">
        <f t="shared" si="4"/>
        <v>8.00047184289754</v>
      </c>
      <c r="M5">
        <f t="shared" si="5"/>
        <v>-0.0094967861016473</v>
      </c>
      <c r="P5">
        <f t="shared" si="6"/>
        <v>2.11262844780963e-6</v>
      </c>
    </row>
    <row r="6" ht="17.25" spans="1:16">
      <c r="A6" s="8" t="s">
        <v>31</v>
      </c>
      <c r="B6">
        <v>150</v>
      </c>
      <c r="C6">
        <v>75.44</v>
      </c>
      <c r="D6">
        <v>2</v>
      </c>
      <c r="E6">
        <f t="shared" si="0"/>
        <v>0.5</v>
      </c>
      <c r="F6">
        <f t="shared" si="1"/>
        <v>0.218023255813953</v>
      </c>
      <c r="G6">
        <f t="shared" si="2"/>
        <v>0.00162962002894606</v>
      </c>
      <c r="H6">
        <f t="shared" si="3"/>
        <v>21.96528758429</v>
      </c>
      <c r="I6">
        <f t="shared" si="4"/>
        <v>1098.2643792145</v>
      </c>
      <c r="J6" s="3" t="s">
        <v>32</v>
      </c>
      <c r="M6">
        <f t="shared" si="5"/>
        <v>-0.332082894731923</v>
      </c>
      <c r="P6">
        <f t="shared" si="6"/>
        <v>0.0475341400757166</v>
      </c>
    </row>
    <row r="7" ht="17.25" spans="1:16">
      <c r="A7" s="8" t="s">
        <v>33</v>
      </c>
      <c r="B7">
        <v>75</v>
      </c>
      <c r="C7">
        <v>13406</v>
      </c>
      <c r="D7">
        <v>3</v>
      </c>
      <c r="E7">
        <f t="shared" si="0"/>
        <v>0.75</v>
      </c>
      <c r="F7">
        <f t="shared" si="1"/>
        <v>0.109011627906977</v>
      </c>
      <c r="G7">
        <f t="shared" si="2"/>
        <v>0.28959021882358</v>
      </c>
      <c r="H7">
        <f t="shared" si="3"/>
        <v>39.8601846730557</v>
      </c>
      <c r="I7">
        <f t="shared" si="4"/>
        <v>2989.51385047918</v>
      </c>
      <c r="J7" s="3" t="s">
        <v>32</v>
      </c>
      <c r="M7">
        <f t="shared" si="5"/>
        <v>-0.241602549897932</v>
      </c>
      <c r="P7">
        <f t="shared" si="6"/>
        <v>0.0118835350189292</v>
      </c>
    </row>
    <row r="8" ht="17.25" spans="1:16">
      <c r="A8" s="8" t="s">
        <v>34</v>
      </c>
      <c r="B8">
        <v>3</v>
      </c>
      <c r="C8">
        <v>1.23</v>
      </c>
      <c r="D8">
        <v>1</v>
      </c>
      <c r="E8">
        <f t="shared" si="0"/>
        <v>0.25</v>
      </c>
      <c r="F8">
        <f t="shared" si="1"/>
        <v>0.00436046511627907</v>
      </c>
      <c r="G8">
        <f t="shared" si="2"/>
        <v>2.65698917762945e-5</v>
      </c>
      <c r="H8">
        <f t="shared" si="3"/>
        <v>0.438703500805536</v>
      </c>
      <c r="I8">
        <f t="shared" si="4"/>
        <v>10.9675875201384</v>
      </c>
      <c r="M8">
        <f t="shared" si="5"/>
        <v>-0.0236998977438891</v>
      </c>
      <c r="P8">
        <f t="shared" si="6"/>
        <v>1.90136560302866e-5</v>
      </c>
    </row>
    <row r="9" ht="17.25" spans="1:16">
      <c r="A9" s="8" t="s">
        <v>35</v>
      </c>
      <c r="B9">
        <v>32</v>
      </c>
      <c r="C9">
        <v>2413.1</v>
      </c>
      <c r="D9">
        <v>2</v>
      </c>
      <c r="E9">
        <f t="shared" si="0"/>
        <v>0.5</v>
      </c>
      <c r="F9">
        <f t="shared" si="1"/>
        <v>0.0465116279069767</v>
      </c>
      <c r="G9">
        <f t="shared" si="2"/>
        <v>0.052126671419005</v>
      </c>
      <c r="H9">
        <f t="shared" si="3"/>
        <v>9.86382993259818</v>
      </c>
      <c r="I9">
        <f t="shared" si="4"/>
        <v>493.191496629909</v>
      </c>
      <c r="M9">
        <f t="shared" si="5"/>
        <v>-0.142700136517843</v>
      </c>
      <c r="P9">
        <f t="shared" si="6"/>
        <v>0.00216333153055706</v>
      </c>
    </row>
    <row r="10" ht="17.25" spans="1:16">
      <c r="A10" s="8" t="s">
        <v>37</v>
      </c>
      <c r="B10">
        <v>1</v>
      </c>
      <c r="C10">
        <v>654.47</v>
      </c>
      <c r="D10">
        <v>1</v>
      </c>
      <c r="E10">
        <f t="shared" si="0"/>
        <v>0.25</v>
      </c>
      <c r="F10">
        <f t="shared" si="1"/>
        <v>0.00145348837209302</v>
      </c>
      <c r="G10">
        <f t="shared" si="2"/>
        <v>0.0141375585941719</v>
      </c>
      <c r="H10">
        <f t="shared" si="3"/>
        <v>1.55910469662649</v>
      </c>
      <c r="I10">
        <f t="shared" si="4"/>
        <v>38.9776174156623</v>
      </c>
      <c r="M10">
        <f t="shared" si="5"/>
        <v>-0.0094967861016473</v>
      </c>
      <c r="P10">
        <f t="shared" si="6"/>
        <v>2.11262844780963e-6</v>
      </c>
    </row>
    <row r="11" ht="17.25" spans="1:16">
      <c r="A11" s="8" t="s">
        <v>38</v>
      </c>
      <c r="B11">
        <v>22</v>
      </c>
      <c r="C11">
        <v>27756</v>
      </c>
      <c r="D11">
        <v>3</v>
      </c>
      <c r="E11">
        <f t="shared" si="0"/>
        <v>0.75</v>
      </c>
      <c r="F11">
        <f t="shared" si="1"/>
        <v>0.0319767441860465</v>
      </c>
      <c r="G11">
        <f t="shared" si="2"/>
        <v>0.599572289547016</v>
      </c>
      <c r="H11">
        <f t="shared" si="3"/>
        <v>63.1549033733062</v>
      </c>
      <c r="I11">
        <f t="shared" si="4"/>
        <v>4736.61775299797</v>
      </c>
      <c r="J11" s="3" t="s">
        <v>32</v>
      </c>
      <c r="M11">
        <f t="shared" si="5"/>
        <v>-0.110087820436992</v>
      </c>
      <c r="P11">
        <f t="shared" si="6"/>
        <v>0.00102251216873986</v>
      </c>
    </row>
    <row r="12" ht="17.25" spans="1:16">
      <c r="A12" s="8" t="s">
        <v>39</v>
      </c>
      <c r="B12">
        <v>4</v>
      </c>
      <c r="C12">
        <v>1676.91</v>
      </c>
      <c r="D12">
        <v>2</v>
      </c>
      <c r="E12">
        <f t="shared" si="0"/>
        <v>0.5</v>
      </c>
      <c r="F12">
        <f t="shared" si="1"/>
        <v>0.00581395348837209</v>
      </c>
      <c r="G12">
        <f t="shared" si="2"/>
        <v>0.0362238351370618</v>
      </c>
      <c r="H12">
        <f t="shared" si="3"/>
        <v>4.20377886254338</v>
      </c>
      <c r="I12">
        <f t="shared" si="4"/>
        <v>210.188943127169</v>
      </c>
      <c r="M12">
        <f t="shared" si="5"/>
        <v>-0.0299272934698457</v>
      </c>
      <c r="P12">
        <f t="shared" si="6"/>
        <v>3.3802055164954e-5</v>
      </c>
    </row>
    <row r="13" ht="17.25" spans="1:16">
      <c r="A13" s="8" t="s">
        <v>40</v>
      </c>
      <c r="B13">
        <v>356</v>
      </c>
      <c r="C13">
        <v>176</v>
      </c>
      <c r="D13">
        <v>2</v>
      </c>
      <c r="E13">
        <f t="shared" si="0"/>
        <v>0.5</v>
      </c>
      <c r="F13">
        <f t="shared" si="1"/>
        <v>0.517441860465116</v>
      </c>
      <c r="G13">
        <f t="shared" si="2"/>
        <v>0.00380187069319336</v>
      </c>
      <c r="H13">
        <f t="shared" si="3"/>
        <v>52.124373115831</v>
      </c>
      <c r="I13">
        <f t="shared" si="4"/>
        <v>2606.21865579155</v>
      </c>
      <c r="J13" s="3" t="s">
        <v>32</v>
      </c>
      <c r="M13">
        <f t="shared" si="5"/>
        <v>-0.34092076471068</v>
      </c>
      <c r="P13">
        <f t="shared" si="6"/>
        <v>0.267746078961601</v>
      </c>
    </row>
    <row r="14" ht="17.25" spans="1:16">
      <c r="A14" s="8" t="s">
        <v>45</v>
      </c>
      <c r="B14">
        <v>3</v>
      </c>
      <c r="C14">
        <v>1.2</v>
      </c>
      <c r="D14">
        <v>1</v>
      </c>
      <c r="E14">
        <f t="shared" si="0"/>
        <v>0.25</v>
      </c>
      <c r="F14">
        <f t="shared" si="1"/>
        <v>0.00436046511627907</v>
      </c>
      <c r="G14">
        <f t="shared" si="2"/>
        <v>2.59218456354092e-5</v>
      </c>
      <c r="H14">
        <f t="shared" si="3"/>
        <v>0.438638696191448</v>
      </c>
      <c r="I14">
        <f t="shared" si="4"/>
        <v>10.9659674047862</v>
      </c>
      <c r="M14">
        <f t="shared" si="5"/>
        <v>-0.0236998977438891</v>
      </c>
      <c r="P14">
        <f t="shared" si="6"/>
        <v>1.90136560302866e-5</v>
      </c>
    </row>
    <row r="15" ht="17.25" spans="1:16">
      <c r="A15" s="8" t="s">
        <v>53</v>
      </c>
      <c r="B15">
        <v>4</v>
      </c>
      <c r="C15">
        <v>7.37</v>
      </c>
      <c r="D15">
        <v>1</v>
      </c>
      <c r="E15">
        <f t="shared" si="0"/>
        <v>0.25</v>
      </c>
      <c r="F15">
        <f t="shared" si="1"/>
        <v>0.00581395348837209</v>
      </c>
      <c r="G15">
        <f t="shared" si="2"/>
        <v>0.000159203335277472</v>
      </c>
      <c r="H15">
        <f t="shared" si="3"/>
        <v>0.597315682364956</v>
      </c>
      <c r="I15">
        <f t="shared" si="4"/>
        <v>14.9328920591239</v>
      </c>
      <c r="M15">
        <f t="shared" si="5"/>
        <v>-0.0299272934698457</v>
      </c>
      <c r="P15">
        <f t="shared" si="6"/>
        <v>3.3802055164954e-5</v>
      </c>
    </row>
    <row r="16" ht="17.25" spans="1:16">
      <c r="A16" s="8" t="s">
        <v>56</v>
      </c>
      <c r="B16">
        <v>4</v>
      </c>
      <c r="C16">
        <v>3.51</v>
      </c>
      <c r="D16">
        <v>1</v>
      </c>
      <c r="E16">
        <f t="shared" si="0"/>
        <v>0.25</v>
      </c>
      <c r="F16">
        <f t="shared" si="1"/>
        <v>0.00581395348837209</v>
      </c>
      <c r="G16">
        <f t="shared" si="2"/>
        <v>7.5821398483572e-5</v>
      </c>
      <c r="H16">
        <f t="shared" si="3"/>
        <v>0.588977488685566</v>
      </c>
      <c r="I16">
        <f t="shared" si="4"/>
        <v>14.7244372171392</v>
      </c>
      <c r="M16">
        <f t="shared" si="5"/>
        <v>-0.0299272934698457</v>
      </c>
      <c r="P16">
        <f t="shared" si="6"/>
        <v>3.3802055164954e-5</v>
      </c>
    </row>
    <row r="17" spans="13:16">
      <c r="M17" s="10">
        <v>1.49</v>
      </c>
      <c r="N17" s="6">
        <f>14/LN(688)</f>
        <v>2.14270775307582</v>
      </c>
      <c r="O17" s="6">
        <f>1.49/LN(15)</f>
        <v>0.550211365872594</v>
      </c>
      <c r="P17" s="6">
        <f>1-0.3322</f>
        <v>0.6678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selection activeCell="A2" sqref="A2:A23"/>
    </sheetView>
  </sheetViews>
  <sheetFormatPr defaultColWidth="8.89166666666667" defaultRowHeight="13.5"/>
  <cols>
    <col min="6" max="9" width="12.8916666666667"/>
    <col min="13" max="13" width="14.1083333333333"/>
    <col min="14" max="16" width="12.8916666666667"/>
  </cols>
  <sheetData>
    <row r="1" ht="17.25" spans="1:16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3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ht="17.25" spans="1:16">
      <c r="A2" s="8" t="s">
        <v>15</v>
      </c>
      <c r="B2">
        <v>7</v>
      </c>
      <c r="C2">
        <v>12.55</v>
      </c>
      <c r="D2">
        <v>3</v>
      </c>
      <c r="E2">
        <f t="shared" ref="E2:E23" si="0">D2/4</f>
        <v>0.75</v>
      </c>
      <c r="F2">
        <f t="shared" ref="F2:F23" si="1">B2/1172</f>
        <v>0.00597269624573379</v>
      </c>
      <c r="G2">
        <f t="shared" ref="G2:G23" si="2">C2/27107</f>
        <v>0.000462980042055558</v>
      </c>
      <c r="H2">
        <f t="shared" ref="H2:H23" si="3">(F2+G2)*100</f>
        <v>0.643567628778935</v>
      </c>
      <c r="I2">
        <f t="shared" ref="I2:I23" si="4">H2*E2*100</f>
        <v>48.2675721584201</v>
      </c>
      <c r="K2">
        <v>27107</v>
      </c>
      <c r="L2">
        <v>1172</v>
      </c>
      <c r="M2">
        <f>F2*LN(F2)</f>
        <v>-0.0305835305013409</v>
      </c>
      <c r="P2">
        <f>F2*F2</f>
        <v>3.56731004438025e-5</v>
      </c>
    </row>
    <row r="3" ht="17.25" spans="1:16">
      <c r="A3" s="8" t="s">
        <v>19</v>
      </c>
      <c r="B3">
        <v>1</v>
      </c>
      <c r="C3">
        <v>0.74</v>
      </c>
      <c r="D3">
        <v>1</v>
      </c>
      <c r="E3">
        <f t="shared" si="0"/>
        <v>0.25</v>
      </c>
      <c r="F3">
        <f t="shared" si="1"/>
        <v>0.000853242320819113</v>
      </c>
      <c r="G3">
        <f t="shared" si="2"/>
        <v>2.72992216032759e-5</v>
      </c>
      <c r="H3">
        <f t="shared" si="3"/>
        <v>0.0880541542422389</v>
      </c>
      <c r="I3">
        <f t="shared" si="4"/>
        <v>2.20135385605597</v>
      </c>
      <c r="M3">
        <f t="shared" ref="M3:M23" si="5">F3*LN(F3)</f>
        <v>-0.00602940867759126</v>
      </c>
      <c r="P3">
        <f t="shared" ref="P3:P23" si="6">F3*F3</f>
        <v>7.28022458036786e-7</v>
      </c>
    </row>
    <row r="4" ht="17.25" spans="1:16">
      <c r="A4" s="8" t="s">
        <v>20</v>
      </c>
      <c r="B4">
        <v>1</v>
      </c>
      <c r="C4">
        <v>1.77</v>
      </c>
      <c r="D4">
        <v>1</v>
      </c>
      <c r="E4">
        <f t="shared" si="0"/>
        <v>0.25</v>
      </c>
      <c r="F4">
        <f t="shared" si="1"/>
        <v>0.000853242320819113</v>
      </c>
      <c r="G4">
        <f t="shared" si="2"/>
        <v>6.52967868078356e-5</v>
      </c>
      <c r="H4">
        <f t="shared" si="3"/>
        <v>0.0918539107626948</v>
      </c>
      <c r="I4">
        <f t="shared" si="4"/>
        <v>2.29634776906737</v>
      </c>
      <c r="M4">
        <f t="shared" si="5"/>
        <v>-0.00602940867759126</v>
      </c>
      <c r="P4">
        <f t="shared" si="6"/>
        <v>7.28022458036786e-7</v>
      </c>
    </row>
    <row r="5" ht="17.25" spans="1:16">
      <c r="A5" s="8" t="s">
        <v>21</v>
      </c>
      <c r="B5">
        <v>1</v>
      </c>
      <c r="C5">
        <v>2621.38</v>
      </c>
      <c r="D5">
        <v>1</v>
      </c>
      <c r="E5">
        <f t="shared" si="0"/>
        <v>0.25</v>
      </c>
      <c r="F5">
        <f t="shared" si="1"/>
        <v>0.000853242320819113</v>
      </c>
      <c r="G5">
        <f t="shared" si="2"/>
        <v>0.0967049101708046</v>
      </c>
      <c r="H5">
        <f t="shared" si="3"/>
        <v>9.75581524916237</v>
      </c>
      <c r="I5">
        <f t="shared" si="4"/>
        <v>243.895381229059</v>
      </c>
      <c r="M5">
        <f t="shared" si="5"/>
        <v>-0.00602940867759126</v>
      </c>
      <c r="P5">
        <f t="shared" si="6"/>
        <v>7.28022458036786e-7</v>
      </c>
    </row>
    <row r="6" ht="17.25" spans="1:16">
      <c r="A6" s="8" t="s">
        <v>22</v>
      </c>
      <c r="B6">
        <v>17</v>
      </c>
      <c r="C6">
        <v>30.15</v>
      </c>
      <c r="D6">
        <v>2</v>
      </c>
      <c r="E6">
        <f t="shared" si="0"/>
        <v>0.5</v>
      </c>
      <c r="F6">
        <f t="shared" si="1"/>
        <v>0.0145051194539249</v>
      </c>
      <c r="G6">
        <f t="shared" si="2"/>
        <v>0.00111225882613347</v>
      </c>
      <c r="H6">
        <f t="shared" si="3"/>
        <v>1.56173782800584</v>
      </c>
      <c r="I6">
        <f t="shared" si="4"/>
        <v>78.0868914002919</v>
      </c>
      <c r="M6">
        <f t="shared" si="5"/>
        <v>-0.061403849525062</v>
      </c>
      <c r="P6">
        <f t="shared" si="6"/>
        <v>0.000210398490372631</v>
      </c>
    </row>
    <row r="7" ht="17.25" spans="1:16">
      <c r="A7" s="8" t="s">
        <v>25</v>
      </c>
      <c r="B7">
        <v>2</v>
      </c>
      <c r="C7">
        <v>38.7</v>
      </c>
      <c r="D7">
        <v>1</v>
      </c>
      <c r="E7">
        <f t="shared" si="0"/>
        <v>0.25</v>
      </c>
      <c r="F7">
        <f t="shared" si="1"/>
        <v>0.00170648464163823</v>
      </c>
      <c r="G7">
        <f t="shared" si="2"/>
        <v>0.00142767550817132</v>
      </c>
      <c r="H7">
        <f t="shared" si="3"/>
        <v>0.313416014980955</v>
      </c>
      <c r="I7">
        <f t="shared" si="4"/>
        <v>7.83540037452387</v>
      </c>
      <c r="M7">
        <f t="shared" si="5"/>
        <v>-0.0108759723371621</v>
      </c>
      <c r="P7">
        <f t="shared" si="6"/>
        <v>2.91208983214714e-6</v>
      </c>
    </row>
    <row r="8" ht="17.25" spans="1:16">
      <c r="A8" s="8" t="s">
        <v>26</v>
      </c>
      <c r="B8">
        <v>62</v>
      </c>
      <c r="C8">
        <v>66.18</v>
      </c>
      <c r="D8">
        <v>3</v>
      </c>
      <c r="E8">
        <f t="shared" si="0"/>
        <v>0.75</v>
      </c>
      <c r="F8">
        <f t="shared" si="1"/>
        <v>0.052901023890785</v>
      </c>
      <c r="G8">
        <f t="shared" si="2"/>
        <v>0.00244143579149297</v>
      </c>
      <c r="H8">
        <f t="shared" si="3"/>
        <v>5.5342459682278</v>
      </c>
      <c r="I8">
        <f t="shared" si="4"/>
        <v>415.068447617085</v>
      </c>
      <c r="M8">
        <f t="shared" si="5"/>
        <v>-0.155493703306908</v>
      </c>
      <c r="P8">
        <f t="shared" si="6"/>
        <v>0.0027985183286934</v>
      </c>
    </row>
    <row r="9" ht="17.25" spans="1:16">
      <c r="A9" s="8" t="s">
        <v>27</v>
      </c>
      <c r="B9">
        <v>7</v>
      </c>
      <c r="C9">
        <v>1733.24</v>
      </c>
      <c r="D9">
        <v>1</v>
      </c>
      <c r="E9">
        <f t="shared" si="0"/>
        <v>0.25</v>
      </c>
      <c r="F9">
        <f t="shared" si="1"/>
        <v>0.00597269624573379</v>
      </c>
      <c r="G9">
        <f t="shared" si="2"/>
        <v>0.0639406795292729</v>
      </c>
      <c r="H9">
        <f t="shared" si="3"/>
        <v>6.99133757750067</v>
      </c>
      <c r="I9">
        <f t="shared" si="4"/>
        <v>174.783439437517</v>
      </c>
      <c r="M9">
        <f t="shared" si="5"/>
        <v>-0.0305835305013409</v>
      </c>
      <c r="P9">
        <f t="shared" si="6"/>
        <v>3.56731004438025e-5</v>
      </c>
    </row>
    <row r="10" ht="17.25" spans="1:16">
      <c r="A10" s="8" t="s">
        <v>30</v>
      </c>
      <c r="B10">
        <v>1</v>
      </c>
      <c r="C10">
        <v>1.88</v>
      </c>
      <c r="D10">
        <v>1</v>
      </c>
      <c r="E10">
        <f t="shared" si="0"/>
        <v>0.25</v>
      </c>
      <c r="F10">
        <f t="shared" si="1"/>
        <v>0.000853242320819113</v>
      </c>
      <c r="G10">
        <f t="shared" si="2"/>
        <v>6.93547792083226e-5</v>
      </c>
      <c r="H10">
        <f t="shared" si="3"/>
        <v>0.0922597100027435</v>
      </c>
      <c r="I10">
        <f t="shared" si="4"/>
        <v>2.30649275006859</v>
      </c>
      <c r="M10">
        <f t="shared" si="5"/>
        <v>-0.00602940867759126</v>
      </c>
      <c r="P10">
        <f t="shared" si="6"/>
        <v>7.28022458036786e-7</v>
      </c>
    </row>
    <row r="11" ht="17.25" spans="1:16">
      <c r="A11" s="8" t="s">
        <v>31</v>
      </c>
      <c r="B11">
        <v>11</v>
      </c>
      <c r="C11">
        <v>48.28</v>
      </c>
      <c r="D11">
        <v>1</v>
      </c>
      <c r="E11">
        <f t="shared" si="0"/>
        <v>0.25</v>
      </c>
      <c r="F11">
        <f t="shared" si="1"/>
        <v>0.00938566552901024</v>
      </c>
      <c r="G11">
        <f t="shared" si="2"/>
        <v>0.00178108975541373</v>
      </c>
      <c r="H11">
        <f t="shared" si="3"/>
        <v>1.1166755284424</v>
      </c>
      <c r="I11">
        <f t="shared" si="4"/>
        <v>27.9168882110599</v>
      </c>
      <c r="M11">
        <f t="shared" si="5"/>
        <v>-0.0438176524494236</v>
      </c>
      <c r="P11">
        <f t="shared" si="6"/>
        <v>8.80907174224511e-5</v>
      </c>
    </row>
    <row r="12" ht="17.25" spans="1:16">
      <c r="A12" s="8" t="s">
        <v>33</v>
      </c>
      <c r="B12">
        <v>57</v>
      </c>
      <c r="C12">
        <v>4893.61</v>
      </c>
      <c r="D12">
        <v>3</v>
      </c>
      <c r="E12">
        <f t="shared" si="0"/>
        <v>0.75</v>
      </c>
      <c r="F12">
        <f t="shared" si="1"/>
        <v>0.0486348122866894</v>
      </c>
      <c r="G12">
        <f t="shared" si="2"/>
        <v>0.180529383554064</v>
      </c>
      <c r="H12">
        <f t="shared" si="3"/>
        <v>22.9164195840753</v>
      </c>
      <c r="I12">
        <f t="shared" si="4"/>
        <v>1718.73146880565</v>
      </c>
      <c r="J12" s="3" t="s">
        <v>32</v>
      </c>
      <c r="M12">
        <f t="shared" si="5"/>
        <v>-0.147043255146107</v>
      </c>
      <c r="P12">
        <f t="shared" si="6"/>
        <v>0.00236534496616152</v>
      </c>
    </row>
    <row r="13" ht="17.25" spans="1:16">
      <c r="A13" s="8" t="s">
        <v>34</v>
      </c>
      <c r="B13">
        <v>5</v>
      </c>
      <c r="C13">
        <v>3.87</v>
      </c>
      <c r="D13">
        <v>3</v>
      </c>
      <c r="E13">
        <f t="shared" si="0"/>
        <v>0.75</v>
      </c>
      <c r="F13">
        <f t="shared" si="1"/>
        <v>0.00426621160409556</v>
      </c>
      <c r="G13">
        <f t="shared" si="2"/>
        <v>0.000142767550817132</v>
      </c>
      <c r="H13">
        <f t="shared" si="3"/>
        <v>0.440897915491269</v>
      </c>
      <c r="I13">
        <f t="shared" si="4"/>
        <v>33.0673436618452</v>
      </c>
      <c r="M13">
        <f t="shared" si="5"/>
        <v>-0.0232808406898586</v>
      </c>
      <c r="P13">
        <f t="shared" si="6"/>
        <v>1.82005614509196e-5</v>
      </c>
    </row>
    <row r="14" ht="17.25" spans="1:16">
      <c r="A14" s="8" t="s">
        <v>35</v>
      </c>
      <c r="B14">
        <v>22</v>
      </c>
      <c r="C14">
        <v>2407</v>
      </c>
      <c r="D14">
        <v>3</v>
      </c>
      <c r="E14">
        <f t="shared" si="0"/>
        <v>0.75</v>
      </c>
      <c r="F14">
        <f t="shared" si="1"/>
        <v>0.0187713310580205</v>
      </c>
      <c r="G14">
        <f t="shared" si="2"/>
        <v>0.0887962518906556</v>
      </c>
      <c r="H14">
        <f t="shared" si="3"/>
        <v>10.7567582948676</v>
      </c>
      <c r="I14">
        <f t="shared" si="4"/>
        <v>806.75687211507</v>
      </c>
      <c r="M14">
        <f t="shared" si="5"/>
        <v>-0.074624009700623</v>
      </c>
      <c r="P14">
        <f t="shared" si="6"/>
        <v>0.000352362869689804</v>
      </c>
    </row>
    <row r="15" ht="17.25" spans="1:16">
      <c r="A15" s="8" t="s">
        <v>37</v>
      </c>
      <c r="B15">
        <v>19</v>
      </c>
      <c r="C15">
        <v>1992.64</v>
      </c>
      <c r="D15">
        <v>2</v>
      </c>
      <c r="E15">
        <f t="shared" si="0"/>
        <v>0.5</v>
      </c>
      <c r="F15">
        <f t="shared" si="1"/>
        <v>0.0162116040955631</v>
      </c>
      <c r="G15">
        <f t="shared" si="2"/>
        <v>0.0735101634264212</v>
      </c>
      <c r="H15">
        <f t="shared" si="3"/>
        <v>8.97217675219844</v>
      </c>
      <c r="I15">
        <f t="shared" si="4"/>
        <v>448.608837609922</v>
      </c>
      <c r="M15">
        <f t="shared" si="5"/>
        <v>-0.0668246858604435</v>
      </c>
      <c r="P15">
        <f t="shared" si="6"/>
        <v>0.00026281610735128</v>
      </c>
    </row>
    <row r="16" ht="17.25" spans="1:16">
      <c r="A16" s="8" t="s">
        <v>38</v>
      </c>
      <c r="B16">
        <v>9</v>
      </c>
      <c r="C16">
        <v>6067.35</v>
      </c>
      <c r="D16">
        <v>3</v>
      </c>
      <c r="E16">
        <f t="shared" si="0"/>
        <v>0.75</v>
      </c>
      <c r="F16">
        <f t="shared" si="1"/>
        <v>0.00767918088737201</v>
      </c>
      <c r="G16">
        <f t="shared" si="2"/>
        <v>0.22382963810086</v>
      </c>
      <c r="H16">
        <f t="shared" si="3"/>
        <v>23.1508818988232</v>
      </c>
      <c r="I16">
        <f t="shared" si="4"/>
        <v>1736.31614241174</v>
      </c>
      <c r="J16" s="3" t="s">
        <v>32</v>
      </c>
      <c r="M16">
        <f t="shared" si="5"/>
        <v>-0.037391793118777</v>
      </c>
      <c r="P16">
        <f t="shared" si="6"/>
        <v>5.89698191009796e-5</v>
      </c>
    </row>
    <row r="17" ht="17.25" spans="1:16">
      <c r="A17" s="8" t="s">
        <v>39</v>
      </c>
      <c r="B17">
        <v>9</v>
      </c>
      <c r="C17">
        <v>5341.63</v>
      </c>
      <c r="D17">
        <v>2</v>
      </c>
      <c r="E17">
        <f t="shared" si="0"/>
        <v>0.5</v>
      </c>
      <c r="F17">
        <f t="shared" si="1"/>
        <v>0.00767918088737201</v>
      </c>
      <c r="G17">
        <f t="shared" si="2"/>
        <v>0.197057217692847</v>
      </c>
      <c r="H17">
        <f t="shared" si="3"/>
        <v>20.4736398580219</v>
      </c>
      <c r="I17">
        <f t="shared" si="4"/>
        <v>1023.68199290109</v>
      </c>
      <c r="J17" s="3" t="s">
        <v>32</v>
      </c>
      <c r="M17">
        <f t="shared" si="5"/>
        <v>-0.037391793118777</v>
      </c>
      <c r="P17">
        <f t="shared" si="6"/>
        <v>5.89698191009796e-5</v>
      </c>
    </row>
    <row r="18" ht="17.25" spans="1:16">
      <c r="A18" s="8" t="s">
        <v>40</v>
      </c>
      <c r="B18">
        <v>236</v>
      </c>
      <c r="C18">
        <v>153.32</v>
      </c>
      <c r="D18">
        <v>2</v>
      </c>
      <c r="E18">
        <f t="shared" si="0"/>
        <v>0.5</v>
      </c>
      <c r="F18">
        <f t="shared" si="1"/>
        <v>0.201365187713311</v>
      </c>
      <c r="G18">
        <f t="shared" si="2"/>
        <v>0.00565610358947873</v>
      </c>
      <c r="H18">
        <f t="shared" si="3"/>
        <v>20.7021291302789</v>
      </c>
      <c r="I18">
        <f t="shared" si="4"/>
        <v>1035.10645651395</v>
      </c>
      <c r="J18" s="3" t="s">
        <v>32</v>
      </c>
      <c r="M18">
        <f t="shared" si="5"/>
        <v>-0.322714930858599</v>
      </c>
      <c r="P18">
        <f t="shared" si="6"/>
        <v>0.0405479388228168</v>
      </c>
    </row>
    <row r="19" ht="17.25" spans="1:16">
      <c r="A19" s="8" t="s">
        <v>41</v>
      </c>
      <c r="B19">
        <v>1</v>
      </c>
      <c r="C19">
        <v>0.4</v>
      </c>
      <c r="D19">
        <v>1</v>
      </c>
      <c r="E19">
        <f t="shared" si="0"/>
        <v>0.25</v>
      </c>
      <c r="F19">
        <f t="shared" si="1"/>
        <v>0.000853242320819113</v>
      </c>
      <c r="G19">
        <f t="shared" si="2"/>
        <v>1.47563360017708e-5</v>
      </c>
      <c r="H19">
        <f t="shared" si="3"/>
        <v>0.0867998656820883</v>
      </c>
      <c r="I19">
        <f t="shared" si="4"/>
        <v>2.16999664205221</v>
      </c>
      <c r="M19">
        <f t="shared" si="5"/>
        <v>-0.00602940867759126</v>
      </c>
      <c r="P19">
        <f t="shared" si="6"/>
        <v>7.28022458036786e-7</v>
      </c>
    </row>
    <row r="20" ht="17.25" spans="1:16">
      <c r="A20" s="8" t="s">
        <v>44</v>
      </c>
      <c r="B20">
        <v>1</v>
      </c>
      <c r="C20">
        <v>543.48</v>
      </c>
      <c r="D20">
        <v>1</v>
      </c>
      <c r="E20">
        <f t="shared" si="0"/>
        <v>0.25</v>
      </c>
      <c r="F20">
        <f t="shared" si="1"/>
        <v>0.000853242320819113</v>
      </c>
      <c r="G20">
        <f t="shared" si="2"/>
        <v>0.0200494337256059</v>
      </c>
      <c r="H20">
        <f t="shared" si="3"/>
        <v>2.0902676046425</v>
      </c>
      <c r="I20">
        <f t="shared" si="4"/>
        <v>52.2566901160626</v>
      </c>
      <c r="M20">
        <f t="shared" si="5"/>
        <v>-0.00602940867759126</v>
      </c>
      <c r="P20">
        <f t="shared" si="6"/>
        <v>7.28022458036786e-7</v>
      </c>
    </row>
    <row r="21" ht="17.25" spans="1:16">
      <c r="A21" s="8" t="s">
        <v>53</v>
      </c>
      <c r="B21">
        <v>202</v>
      </c>
      <c r="C21">
        <v>704.16</v>
      </c>
      <c r="D21">
        <v>3</v>
      </c>
      <c r="E21">
        <f t="shared" si="0"/>
        <v>0.75</v>
      </c>
      <c r="F21">
        <f t="shared" si="1"/>
        <v>0.172354948805461</v>
      </c>
      <c r="G21">
        <f t="shared" si="2"/>
        <v>0.0259770538975172</v>
      </c>
      <c r="H21">
        <f t="shared" si="3"/>
        <v>19.8332002702978</v>
      </c>
      <c r="I21">
        <f t="shared" si="4"/>
        <v>1487.49002027234</v>
      </c>
      <c r="M21">
        <f t="shared" si="5"/>
        <v>-0.303034345642169</v>
      </c>
      <c r="P21">
        <f t="shared" si="6"/>
        <v>0.029706228377733</v>
      </c>
    </row>
    <row r="22" ht="17.25" spans="1:16">
      <c r="A22" s="8" t="s">
        <v>56</v>
      </c>
      <c r="B22">
        <v>498</v>
      </c>
      <c r="C22">
        <v>441.16</v>
      </c>
      <c r="D22">
        <v>3</v>
      </c>
      <c r="E22">
        <f t="shared" si="0"/>
        <v>0.75</v>
      </c>
      <c r="F22">
        <f t="shared" si="1"/>
        <v>0.424914675767918</v>
      </c>
      <c r="G22">
        <f t="shared" si="2"/>
        <v>0.016274762976353</v>
      </c>
      <c r="H22">
        <f t="shared" si="3"/>
        <v>44.1189438744271</v>
      </c>
      <c r="I22">
        <f t="shared" si="4"/>
        <v>3308.92079058203</v>
      </c>
      <c r="M22">
        <f t="shared" si="5"/>
        <v>-0.36367040338731</v>
      </c>
      <c r="P22">
        <f t="shared" si="6"/>
        <v>0.180552481682955</v>
      </c>
    </row>
    <row r="23" ht="17.25" spans="1:16">
      <c r="A23" s="8" t="s">
        <v>57</v>
      </c>
      <c r="B23">
        <v>3</v>
      </c>
      <c r="C23">
        <v>3.51</v>
      </c>
      <c r="D23">
        <v>2</v>
      </c>
      <c r="E23">
        <f t="shared" si="0"/>
        <v>0.5</v>
      </c>
      <c r="F23">
        <f t="shared" si="1"/>
        <v>0.00255972696245734</v>
      </c>
      <c r="G23">
        <f t="shared" si="2"/>
        <v>0.000129486848415538</v>
      </c>
      <c r="H23">
        <f t="shared" si="3"/>
        <v>0.268921381087288</v>
      </c>
      <c r="I23">
        <f t="shared" si="4"/>
        <v>13.4460690543644</v>
      </c>
      <c r="M23">
        <f t="shared" si="5"/>
        <v>-0.0152760785361831</v>
      </c>
      <c r="P23">
        <f t="shared" si="6"/>
        <v>6.55220212233107e-6</v>
      </c>
    </row>
    <row r="24" spans="13:16">
      <c r="M24" s="6">
        <v>1.76</v>
      </c>
      <c r="N24" s="6">
        <f>21/LN(1172)</f>
        <v>2.97178209262796</v>
      </c>
      <c r="O24" s="6">
        <f>1.76/LN(22)</f>
        <v>0.569387197541664</v>
      </c>
      <c r="P24" s="6">
        <f>1-0.2571</f>
        <v>0.7429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A2" sqref="A2:A24"/>
    </sheetView>
  </sheetViews>
  <sheetFormatPr defaultColWidth="8.89166666666667" defaultRowHeight="13.5"/>
  <cols>
    <col min="6" max="9" width="12.8916666666667"/>
    <col min="13" max="13" width="14.1083333333333"/>
    <col min="14" max="16" width="12.8916666666667"/>
  </cols>
  <sheetData>
    <row r="1" ht="17.25" spans="1:16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3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ht="17.25" spans="1:16">
      <c r="A2" s="8" t="s">
        <v>15</v>
      </c>
      <c r="B2">
        <v>21</v>
      </c>
      <c r="C2">
        <v>14.51</v>
      </c>
      <c r="D2">
        <v>2</v>
      </c>
      <c r="E2">
        <f t="shared" ref="E2:E24" si="0">D2/4</f>
        <v>0.5</v>
      </c>
      <c r="F2">
        <f t="shared" ref="F2:F24" si="1">B2/1269</f>
        <v>0.016548463356974</v>
      </c>
      <c r="G2">
        <f t="shared" ref="G2:G24" si="2">C2/45076</f>
        <v>0.000321900789777265</v>
      </c>
      <c r="H2">
        <f t="shared" ref="H2:H24" si="3">(F2+G2)*100</f>
        <v>1.68703641467513</v>
      </c>
      <c r="I2">
        <f t="shared" ref="I2:I24" si="4">H2*E2*100</f>
        <v>84.3518207337563</v>
      </c>
      <c r="K2">
        <v>45076</v>
      </c>
      <c r="L2">
        <v>1269</v>
      </c>
      <c r="M2">
        <f>F2*LN(F2)</f>
        <v>-0.0678728941133257</v>
      </c>
      <c r="P2">
        <f>F2*F2</f>
        <v>0.000273851639477111</v>
      </c>
    </row>
    <row r="3" ht="17.25" spans="1:16">
      <c r="A3" s="8" t="s">
        <v>18</v>
      </c>
      <c r="B3">
        <v>1</v>
      </c>
      <c r="C3">
        <v>2.45</v>
      </c>
      <c r="D3">
        <v>1</v>
      </c>
      <c r="E3">
        <f t="shared" si="0"/>
        <v>0.25</v>
      </c>
      <c r="F3">
        <f t="shared" si="1"/>
        <v>0.000788022064617809</v>
      </c>
      <c r="G3">
        <f t="shared" si="2"/>
        <v>5.43526488597036e-5</v>
      </c>
      <c r="H3">
        <f t="shared" si="3"/>
        <v>0.0842374713477513</v>
      </c>
      <c r="I3">
        <f t="shared" si="4"/>
        <v>2.10593678369378</v>
      </c>
      <c r="M3">
        <f t="shared" ref="M3:M24" si="5">F3*LN(F3)</f>
        <v>-0.00563119343397509</v>
      </c>
      <c r="P3">
        <f t="shared" ref="P3:P24" si="6">F3*F3</f>
        <v>6.20978774324515e-7</v>
      </c>
    </row>
    <row r="4" ht="17.25" spans="1:16">
      <c r="A4" s="8" t="s">
        <v>21</v>
      </c>
      <c r="B4">
        <v>1</v>
      </c>
      <c r="C4">
        <v>5000</v>
      </c>
      <c r="D4">
        <v>1</v>
      </c>
      <c r="E4">
        <f t="shared" si="0"/>
        <v>0.25</v>
      </c>
      <c r="F4">
        <f t="shared" si="1"/>
        <v>0.000788022064617809</v>
      </c>
      <c r="G4">
        <f t="shared" si="2"/>
        <v>0.110923773183069</v>
      </c>
      <c r="H4">
        <f t="shared" si="3"/>
        <v>11.1711795247686</v>
      </c>
      <c r="I4">
        <f t="shared" si="4"/>
        <v>279.279488119216</v>
      </c>
      <c r="M4">
        <f t="shared" si="5"/>
        <v>-0.00563119343397509</v>
      </c>
      <c r="P4">
        <f t="shared" si="6"/>
        <v>6.20978774324515e-7</v>
      </c>
    </row>
    <row r="5" ht="17.25" spans="1:16">
      <c r="A5" s="8" t="s">
        <v>22</v>
      </c>
      <c r="B5">
        <v>16</v>
      </c>
      <c r="C5">
        <v>20.97</v>
      </c>
      <c r="D5">
        <v>3</v>
      </c>
      <c r="E5">
        <f t="shared" si="0"/>
        <v>0.75</v>
      </c>
      <c r="F5">
        <f t="shared" si="1"/>
        <v>0.0126083530338849</v>
      </c>
      <c r="G5">
        <f t="shared" si="2"/>
        <v>0.00046521430472979</v>
      </c>
      <c r="H5">
        <f t="shared" si="3"/>
        <v>1.30735673386147</v>
      </c>
      <c r="I5">
        <f t="shared" si="4"/>
        <v>98.0517550396105</v>
      </c>
      <c r="M5">
        <f t="shared" si="5"/>
        <v>-0.0551413175158343</v>
      </c>
      <c r="P5">
        <f t="shared" si="6"/>
        <v>0.000158970566227076</v>
      </c>
    </row>
    <row r="6" ht="17.25" spans="1:16">
      <c r="A6" s="8" t="s">
        <v>25</v>
      </c>
      <c r="B6">
        <v>2</v>
      </c>
      <c r="C6">
        <v>25.96</v>
      </c>
      <c r="D6">
        <v>1</v>
      </c>
      <c r="E6">
        <f t="shared" si="0"/>
        <v>0.25</v>
      </c>
      <c r="F6">
        <f t="shared" si="1"/>
        <v>0.00157604412923562</v>
      </c>
      <c r="G6">
        <f t="shared" si="2"/>
        <v>0.000575916230366492</v>
      </c>
      <c r="H6">
        <f t="shared" si="3"/>
        <v>0.215196035960211</v>
      </c>
      <c r="I6">
        <f t="shared" si="4"/>
        <v>5.37990089900528</v>
      </c>
      <c r="M6">
        <f t="shared" si="5"/>
        <v>-0.0101699563233325</v>
      </c>
      <c r="P6">
        <f t="shared" si="6"/>
        <v>2.48391509729806e-6</v>
      </c>
    </row>
    <row r="7" ht="17.25" spans="1:16">
      <c r="A7" s="8" t="s">
        <v>26</v>
      </c>
      <c r="B7">
        <v>25</v>
      </c>
      <c r="C7">
        <v>27.36</v>
      </c>
      <c r="D7">
        <v>2</v>
      </c>
      <c r="E7">
        <f t="shared" si="0"/>
        <v>0.5</v>
      </c>
      <c r="F7">
        <f t="shared" si="1"/>
        <v>0.0197005516154452</v>
      </c>
      <c r="G7">
        <f t="shared" si="2"/>
        <v>0.000606974886857751</v>
      </c>
      <c r="H7">
        <f t="shared" si="3"/>
        <v>2.0307526502303</v>
      </c>
      <c r="I7">
        <f t="shared" si="4"/>
        <v>101.537632511515</v>
      </c>
      <c r="M7">
        <f t="shared" si="5"/>
        <v>-0.0773662065178524</v>
      </c>
      <c r="P7">
        <f t="shared" si="6"/>
        <v>0.000388111733952822</v>
      </c>
    </row>
    <row r="8" ht="17.25" spans="1:16">
      <c r="A8" s="8" t="s">
        <v>27</v>
      </c>
      <c r="B8">
        <v>1</v>
      </c>
      <c r="C8">
        <v>2.35</v>
      </c>
      <c r="D8">
        <v>1</v>
      </c>
      <c r="E8">
        <f t="shared" si="0"/>
        <v>0.25</v>
      </c>
      <c r="F8">
        <f t="shared" si="1"/>
        <v>0.000788022064617809</v>
      </c>
      <c r="G8">
        <f t="shared" si="2"/>
        <v>5.21341733960422e-5</v>
      </c>
      <c r="H8">
        <f t="shared" si="3"/>
        <v>0.0840156238013852</v>
      </c>
      <c r="I8">
        <f t="shared" si="4"/>
        <v>2.10039059503463</v>
      </c>
      <c r="M8">
        <f t="shared" si="5"/>
        <v>-0.00563119343397509</v>
      </c>
      <c r="P8">
        <f t="shared" si="6"/>
        <v>6.20978774324515e-7</v>
      </c>
    </row>
    <row r="9" ht="17.25" spans="1:16">
      <c r="A9" s="8" t="s">
        <v>31</v>
      </c>
      <c r="B9">
        <v>430</v>
      </c>
      <c r="C9">
        <v>311.16</v>
      </c>
      <c r="D9">
        <v>3</v>
      </c>
      <c r="E9">
        <f t="shared" si="0"/>
        <v>0.75</v>
      </c>
      <c r="F9">
        <f t="shared" si="1"/>
        <v>0.338849487785658</v>
      </c>
      <c r="G9">
        <f t="shared" si="2"/>
        <v>0.00690300825272873</v>
      </c>
      <c r="H9">
        <f t="shared" si="3"/>
        <v>34.5752496038387</v>
      </c>
      <c r="I9">
        <f t="shared" si="4"/>
        <v>2593.1437202879</v>
      </c>
      <c r="J9" s="3" t="s">
        <v>32</v>
      </c>
      <c r="M9">
        <f t="shared" si="5"/>
        <v>-0.366702664603243</v>
      </c>
      <c r="P9">
        <f t="shared" si="6"/>
        <v>0.114818975372603</v>
      </c>
    </row>
    <row r="10" ht="17.25" spans="1:16">
      <c r="A10" s="8" t="s">
        <v>33</v>
      </c>
      <c r="B10">
        <v>16</v>
      </c>
      <c r="C10">
        <v>1179.42</v>
      </c>
      <c r="D10">
        <v>2</v>
      </c>
      <c r="E10">
        <f t="shared" si="0"/>
        <v>0.5</v>
      </c>
      <c r="F10">
        <f t="shared" si="1"/>
        <v>0.0126083530338849</v>
      </c>
      <c r="G10">
        <f t="shared" si="2"/>
        <v>0.026165143313515</v>
      </c>
      <c r="H10">
        <f t="shared" si="3"/>
        <v>3.87734963473999</v>
      </c>
      <c r="I10">
        <f t="shared" si="4"/>
        <v>193.867481737</v>
      </c>
      <c r="M10">
        <f t="shared" si="5"/>
        <v>-0.0551413175158343</v>
      </c>
      <c r="P10">
        <f t="shared" si="6"/>
        <v>0.000158970566227076</v>
      </c>
    </row>
    <row r="11" ht="17.25" spans="1:16">
      <c r="A11" s="8" t="s">
        <v>34</v>
      </c>
      <c r="B11">
        <v>47</v>
      </c>
      <c r="C11">
        <v>14.54</v>
      </c>
      <c r="D11">
        <v>3</v>
      </c>
      <c r="E11">
        <f t="shared" si="0"/>
        <v>0.75</v>
      </c>
      <c r="F11">
        <f t="shared" si="1"/>
        <v>0.037037037037037</v>
      </c>
      <c r="G11">
        <f t="shared" si="2"/>
        <v>0.000322566332416363</v>
      </c>
      <c r="H11">
        <f t="shared" si="3"/>
        <v>3.73596033694534</v>
      </c>
      <c r="I11">
        <f t="shared" si="4"/>
        <v>280.1970252709</v>
      </c>
      <c r="M11">
        <f t="shared" si="5"/>
        <v>-0.122068032074234</v>
      </c>
      <c r="P11">
        <f t="shared" si="6"/>
        <v>0.00137174211248285</v>
      </c>
    </row>
    <row r="12" ht="17.25" spans="1:16">
      <c r="A12" s="8" t="s">
        <v>35</v>
      </c>
      <c r="B12">
        <v>35</v>
      </c>
      <c r="C12">
        <v>1352.21</v>
      </c>
      <c r="D12">
        <v>3</v>
      </c>
      <c r="E12">
        <f t="shared" si="0"/>
        <v>0.75</v>
      </c>
      <c r="F12">
        <f t="shared" si="1"/>
        <v>0.0275807722616233</v>
      </c>
      <c r="G12">
        <f t="shared" si="2"/>
        <v>0.0299984470671754</v>
      </c>
      <c r="H12">
        <f t="shared" si="3"/>
        <v>5.75792193287988</v>
      </c>
      <c r="I12">
        <f t="shared" si="4"/>
        <v>431.844144965991</v>
      </c>
      <c r="M12">
        <f t="shared" si="5"/>
        <v>-0.0990325249943846</v>
      </c>
      <c r="P12">
        <f t="shared" si="6"/>
        <v>0.000760698998547531</v>
      </c>
    </row>
    <row r="13" ht="17.25" spans="1:16">
      <c r="A13" s="8" t="s">
        <v>37</v>
      </c>
      <c r="B13">
        <v>67</v>
      </c>
      <c r="C13">
        <v>1868.2</v>
      </c>
      <c r="D13">
        <v>3</v>
      </c>
      <c r="E13">
        <f t="shared" si="0"/>
        <v>0.75</v>
      </c>
      <c r="F13">
        <f t="shared" si="1"/>
        <v>0.0527974783293932</v>
      </c>
      <c r="G13">
        <f t="shared" si="2"/>
        <v>0.0414455586121217</v>
      </c>
      <c r="H13">
        <f t="shared" si="3"/>
        <v>9.4243036941515</v>
      </c>
      <c r="I13">
        <f t="shared" si="4"/>
        <v>706.822777061362</v>
      </c>
      <c r="M13">
        <f t="shared" si="5"/>
        <v>-0.155292792622277</v>
      </c>
      <c r="P13">
        <f t="shared" si="6"/>
        <v>0.00278757371794275</v>
      </c>
    </row>
    <row r="14" ht="17.25" spans="1:16">
      <c r="A14" s="8" t="s">
        <v>38</v>
      </c>
      <c r="B14">
        <v>21</v>
      </c>
      <c r="C14">
        <v>27548</v>
      </c>
      <c r="D14">
        <v>3</v>
      </c>
      <c r="E14">
        <f t="shared" si="0"/>
        <v>0.75</v>
      </c>
      <c r="F14">
        <f t="shared" si="1"/>
        <v>0.016548463356974</v>
      </c>
      <c r="G14">
        <f t="shared" si="2"/>
        <v>0.611145620729435</v>
      </c>
      <c r="H14">
        <f t="shared" si="3"/>
        <v>62.7694084086409</v>
      </c>
      <c r="I14">
        <f t="shared" si="4"/>
        <v>4707.70563064807</v>
      </c>
      <c r="J14" s="3" t="s">
        <v>32</v>
      </c>
      <c r="M14">
        <f t="shared" si="5"/>
        <v>-0.0678728941133257</v>
      </c>
      <c r="P14">
        <f t="shared" si="6"/>
        <v>0.000273851639477111</v>
      </c>
    </row>
    <row r="15" ht="17.25" spans="1:16">
      <c r="A15" s="8" t="s">
        <v>39</v>
      </c>
      <c r="B15">
        <v>14</v>
      </c>
      <c r="C15">
        <v>5313</v>
      </c>
      <c r="D15">
        <v>2</v>
      </c>
      <c r="E15">
        <f t="shared" si="0"/>
        <v>0.5</v>
      </c>
      <c r="F15">
        <f t="shared" si="1"/>
        <v>0.0110323089046493</v>
      </c>
      <c r="G15">
        <f t="shared" si="2"/>
        <v>0.117867601384329</v>
      </c>
      <c r="H15">
        <f t="shared" si="3"/>
        <v>12.8899910288978</v>
      </c>
      <c r="I15">
        <f t="shared" si="4"/>
        <v>644.49955144489</v>
      </c>
      <c r="M15">
        <f t="shared" si="5"/>
        <v>-0.0497218123982567</v>
      </c>
      <c r="P15">
        <f t="shared" si="6"/>
        <v>0.000121711839767605</v>
      </c>
    </row>
    <row r="16" ht="17.25" spans="1:16">
      <c r="A16" s="8" t="s">
        <v>40</v>
      </c>
      <c r="B16">
        <v>505</v>
      </c>
      <c r="C16">
        <v>246.55</v>
      </c>
      <c r="D16">
        <v>4</v>
      </c>
      <c r="E16">
        <f t="shared" si="0"/>
        <v>1</v>
      </c>
      <c r="F16">
        <f t="shared" si="1"/>
        <v>0.397951142631994</v>
      </c>
      <c r="G16">
        <f t="shared" si="2"/>
        <v>0.00546965125565711</v>
      </c>
      <c r="H16">
        <f t="shared" si="3"/>
        <v>40.3420793887651</v>
      </c>
      <c r="I16">
        <f t="shared" si="4"/>
        <v>4034.20793887651</v>
      </c>
      <c r="J16" s="3" t="s">
        <v>32</v>
      </c>
      <c r="M16">
        <f t="shared" si="5"/>
        <v>-0.366682544847682</v>
      </c>
      <c r="P16">
        <f t="shared" si="6"/>
        <v>0.158365111922109</v>
      </c>
    </row>
    <row r="17" ht="17.25" spans="1:16">
      <c r="A17" s="8" t="s">
        <v>41</v>
      </c>
      <c r="B17">
        <v>4</v>
      </c>
      <c r="C17">
        <v>16.37</v>
      </c>
      <c r="D17">
        <v>2</v>
      </c>
      <c r="E17">
        <f t="shared" si="0"/>
        <v>0.5</v>
      </c>
      <c r="F17">
        <f t="shared" si="1"/>
        <v>0.00315208825847124</v>
      </c>
      <c r="G17">
        <f t="shared" si="2"/>
        <v>0.000363164433401367</v>
      </c>
      <c r="H17">
        <f t="shared" si="3"/>
        <v>0.35152526918726</v>
      </c>
      <c r="I17">
        <f t="shared" si="4"/>
        <v>17.576263459363</v>
      </c>
      <c r="M17">
        <f t="shared" si="5"/>
        <v>-0.0181550515574295</v>
      </c>
      <c r="P17">
        <f t="shared" si="6"/>
        <v>9.93566038919224e-6</v>
      </c>
    </row>
    <row r="18" ht="17.25" spans="1:16">
      <c r="A18" s="8" t="s">
        <v>44</v>
      </c>
      <c r="B18">
        <v>7</v>
      </c>
      <c r="C18">
        <v>189.44</v>
      </c>
      <c r="D18">
        <v>1</v>
      </c>
      <c r="E18">
        <f t="shared" si="0"/>
        <v>0.25</v>
      </c>
      <c r="F18">
        <f t="shared" si="1"/>
        <v>0.00551615445232467</v>
      </c>
      <c r="G18">
        <f t="shared" si="2"/>
        <v>0.0042026799183601</v>
      </c>
      <c r="H18">
        <f t="shared" si="3"/>
        <v>0.971883437068477</v>
      </c>
      <c r="I18">
        <f t="shared" si="4"/>
        <v>24.2970859267119</v>
      </c>
      <c r="M18">
        <f t="shared" si="5"/>
        <v>-0.0286844131052904</v>
      </c>
      <c r="P18">
        <f t="shared" si="6"/>
        <v>3.04279599419012e-5</v>
      </c>
    </row>
    <row r="19" ht="17.25" spans="1:16">
      <c r="A19" s="8" t="s">
        <v>61</v>
      </c>
      <c r="B19">
        <v>1</v>
      </c>
      <c r="C19">
        <v>0.92</v>
      </c>
      <c r="D19">
        <v>1</v>
      </c>
      <c r="E19">
        <f t="shared" si="0"/>
        <v>0.25</v>
      </c>
      <c r="F19">
        <f t="shared" si="1"/>
        <v>0.000788022064617809</v>
      </c>
      <c r="G19">
        <f t="shared" si="2"/>
        <v>2.04099742656846e-5</v>
      </c>
      <c r="H19">
        <f t="shared" si="3"/>
        <v>0.0808432038883494</v>
      </c>
      <c r="I19">
        <f t="shared" si="4"/>
        <v>2.02108009720873</v>
      </c>
      <c r="M19">
        <f t="shared" si="5"/>
        <v>-0.00563119343397509</v>
      </c>
      <c r="P19">
        <f t="shared" si="6"/>
        <v>6.20978774324515e-7</v>
      </c>
    </row>
    <row r="20" ht="17.25" spans="1:16">
      <c r="A20" s="8" t="s">
        <v>52</v>
      </c>
      <c r="B20">
        <v>1</v>
      </c>
      <c r="C20">
        <v>666.38</v>
      </c>
      <c r="D20">
        <v>1</v>
      </c>
      <c r="E20">
        <f t="shared" si="0"/>
        <v>0.25</v>
      </c>
      <c r="F20">
        <f t="shared" si="1"/>
        <v>0.000788022064617809</v>
      </c>
      <c r="G20">
        <f t="shared" si="2"/>
        <v>0.0147834767947467</v>
      </c>
      <c r="H20">
        <f t="shared" si="3"/>
        <v>1.55714988593645</v>
      </c>
      <c r="I20">
        <f t="shared" si="4"/>
        <v>38.9287471484111</v>
      </c>
      <c r="M20">
        <f t="shared" si="5"/>
        <v>-0.00563119343397509</v>
      </c>
      <c r="P20">
        <f t="shared" si="6"/>
        <v>6.20978774324515e-7</v>
      </c>
    </row>
    <row r="21" ht="17.25" spans="1:16">
      <c r="A21" s="8" t="s">
        <v>53</v>
      </c>
      <c r="B21">
        <v>10</v>
      </c>
      <c r="C21">
        <v>31.92</v>
      </c>
      <c r="D21">
        <v>2</v>
      </c>
      <c r="E21">
        <f t="shared" si="0"/>
        <v>0.5</v>
      </c>
      <c r="F21">
        <f t="shared" si="1"/>
        <v>0.00788022064617809</v>
      </c>
      <c r="G21">
        <f t="shared" si="2"/>
        <v>0.00070813736800071</v>
      </c>
      <c r="H21">
        <f t="shared" si="3"/>
        <v>0.85883580141788</v>
      </c>
      <c r="I21">
        <f t="shared" si="4"/>
        <v>42.941790070894</v>
      </c>
      <c r="M21">
        <f t="shared" si="5"/>
        <v>-0.0381670557503573</v>
      </c>
      <c r="P21">
        <f t="shared" si="6"/>
        <v>6.20978774324515e-5</v>
      </c>
    </row>
    <row r="22" ht="17.25" spans="1:16">
      <c r="A22" s="8" t="s">
        <v>55</v>
      </c>
      <c r="B22">
        <v>1</v>
      </c>
      <c r="C22">
        <v>1219.08</v>
      </c>
      <c r="D22">
        <v>1</v>
      </c>
      <c r="E22">
        <f t="shared" si="0"/>
        <v>0.25</v>
      </c>
      <c r="F22">
        <f t="shared" si="1"/>
        <v>0.000788022064617809</v>
      </c>
      <c r="G22">
        <f t="shared" si="2"/>
        <v>0.0270449906824031</v>
      </c>
      <c r="H22">
        <f t="shared" si="3"/>
        <v>2.78330127470209</v>
      </c>
      <c r="I22">
        <f t="shared" si="4"/>
        <v>69.5825318675521</v>
      </c>
      <c r="M22">
        <f t="shared" si="5"/>
        <v>-0.00563119343397509</v>
      </c>
      <c r="P22">
        <f t="shared" si="6"/>
        <v>6.20978774324515e-7</v>
      </c>
    </row>
    <row r="23" ht="17.25" spans="1:16">
      <c r="A23" s="8" t="s">
        <v>56</v>
      </c>
      <c r="B23">
        <v>38</v>
      </c>
      <c r="C23">
        <v>17.5</v>
      </c>
      <c r="D23">
        <v>1</v>
      </c>
      <c r="E23">
        <f t="shared" si="0"/>
        <v>0.25</v>
      </c>
      <c r="F23">
        <f t="shared" si="1"/>
        <v>0.0299448384554768</v>
      </c>
      <c r="G23">
        <f t="shared" si="2"/>
        <v>0.00038823320614074</v>
      </c>
      <c r="H23">
        <f t="shared" si="3"/>
        <v>3.03330716616175</v>
      </c>
      <c r="I23">
        <f t="shared" si="4"/>
        <v>75.8326791540437</v>
      </c>
      <c r="M23">
        <f t="shared" si="5"/>
        <v>-0.105058420570169</v>
      </c>
      <c r="P23">
        <f t="shared" si="6"/>
        <v>0.0008966933501246</v>
      </c>
    </row>
    <row r="24" ht="17.25" spans="1:16">
      <c r="A24" s="8" t="s">
        <v>57</v>
      </c>
      <c r="B24">
        <v>5</v>
      </c>
      <c r="C24">
        <v>8.19</v>
      </c>
      <c r="D24">
        <v>1</v>
      </c>
      <c r="E24">
        <f t="shared" si="0"/>
        <v>0.25</v>
      </c>
      <c r="F24">
        <f t="shared" si="1"/>
        <v>0.00394011032308905</v>
      </c>
      <c r="G24">
        <f t="shared" si="2"/>
        <v>0.000181693140473866</v>
      </c>
      <c r="H24">
        <f t="shared" si="3"/>
        <v>0.412180346356291</v>
      </c>
      <c r="I24">
        <f t="shared" si="4"/>
        <v>10.3045086589073</v>
      </c>
      <c r="M24">
        <f t="shared" si="5"/>
        <v>-0.021814604236723</v>
      </c>
      <c r="P24">
        <f t="shared" si="6"/>
        <v>1.55244693581129e-5</v>
      </c>
    </row>
    <row r="25" spans="13:16">
      <c r="M25" s="6">
        <v>1.738</v>
      </c>
      <c r="N25" s="6">
        <f>22/LN(1269)</f>
        <v>3.07865208767192</v>
      </c>
      <c r="O25" s="6">
        <f>1.738/LN(23)</f>
        <v>0.554298582714806</v>
      </c>
      <c r="P25" s="6">
        <f>1-0.2805</f>
        <v>0.7195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selection activeCell="B24" sqref="B24"/>
    </sheetView>
  </sheetViews>
  <sheetFormatPr defaultColWidth="8.89166666666667" defaultRowHeight="13.5"/>
  <cols>
    <col min="1" max="1" width="15.875" customWidth="1"/>
    <col min="6" max="9" width="12.8916666666667"/>
    <col min="13" max="13" width="14.1083333333333"/>
    <col min="14" max="16" width="12.8916666666667"/>
  </cols>
  <sheetData>
    <row r="1" ht="17.25" spans="1:16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3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ht="17.25" spans="1:16">
      <c r="A2" s="8" t="s">
        <v>15</v>
      </c>
      <c r="B2">
        <v>6</v>
      </c>
      <c r="C2">
        <v>10.8</v>
      </c>
      <c r="D2">
        <v>2</v>
      </c>
      <c r="E2">
        <f t="shared" ref="E2:E23" si="0">D2/4</f>
        <v>0.5</v>
      </c>
      <c r="F2">
        <f t="shared" ref="F2:F23" si="1">B2/1013</f>
        <v>0.00592300098716683</v>
      </c>
      <c r="G2">
        <f t="shared" ref="G2:G23" si="2">C2/35991</f>
        <v>0.000300075018754689</v>
      </c>
      <c r="H2">
        <f t="shared" ref="H2:H23" si="3">(F2+G2)*100</f>
        <v>0.622307600592152</v>
      </c>
      <c r="I2">
        <f t="shared" ref="I2:I23" si="4">H2*100*E2</f>
        <v>31.1153800296076</v>
      </c>
      <c r="K2">
        <v>35991</v>
      </c>
      <c r="L2">
        <v>1013</v>
      </c>
      <c r="M2">
        <f>F2*LN(F2)</f>
        <v>-0.030378551046519</v>
      </c>
      <c r="P2">
        <f>F2*F2</f>
        <v>3.50819406939793e-5</v>
      </c>
    </row>
    <row r="3" ht="17.25" spans="1:16">
      <c r="A3" s="8" t="s">
        <v>60</v>
      </c>
      <c r="B3">
        <v>1</v>
      </c>
      <c r="C3">
        <v>2.59</v>
      </c>
      <c r="D3">
        <v>1</v>
      </c>
      <c r="E3">
        <f t="shared" si="0"/>
        <v>0.25</v>
      </c>
      <c r="F3">
        <f t="shared" si="1"/>
        <v>0.000987166831194472</v>
      </c>
      <c r="G3">
        <f t="shared" si="2"/>
        <v>7.19624350532077e-5</v>
      </c>
      <c r="H3">
        <f t="shared" si="3"/>
        <v>0.105912926624768</v>
      </c>
      <c r="I3">
        <f t="shared" si="4"/>
        <v>2.6478231656192</v>
      </c>
      <c r="M3">
        <f t="shared" ref="M3:M23" si="5">F3*LN(F3)</f>
        <v>-0.00683185735858705</v>
      </c>
      <c r="P3">
        <f t="shared" ref="P3:P23" si="6">F3*F3</f>
        <v>9.74498352610535e-7</v>
      </c>
    </row>
    <row r="4" ht="17.25" spans="1:16">
      <c r="A4" s="8" t="s">
        <v>19</v>
      </c>
      <c r="B4">
        <v>1</v>
      </c>
      <c r="C4">
        <v>1.6</v>
      </c>
      <c r="D4">
        <v>1</v>
      </c>
      <c r="E4">
        <f t="shared" si="0"/>
        <v>0.25</v>
      </c>
      <c r="F4">
        <f t="shared" si="1"/>
        <v>0.000987166831194472</v>
      </c>
      <c r="G4">
        <f t="shared" si="2"/>
        <v>4.4455558334028e-5</v>
      </c>
      <c r="H4">
        <f t="shared" si="3"/>
        <v>0.10316223895285</v>
      </c>
      <c r="I4">
        <f t="shared" si="4"/>
        <v>2.57905597382125</v>
      </c>
      <c r="M4">
        <f t="shared" si="5"/>
        <v>-0.00683185735858705</v>
      </c>
      <c r="P4">
        <f t="shared" si="6"/>
        <v>9.74498352610535e-7</v>
      </c>
    </row>
    <row r="5" ht="17.25" spans="1:16">
      <c r="A5" s="8" t="s">
        <v>20</v>
      </c>
      <c r="B5">
        <v>31</v>
      </c>
      <c r="C5">
        <v>146.69</v>
      </c>
      <c r="D5">
        <v>3</v>
      </c>
      <c r="E5">
        <f t="shared" si="0"/>
        <v>0.75</v>
      </c>
      <c r="F5">
        <f t="shared" si="1"/>
        <v>0.0306021717670286</v>
      </c>
      <c r="G5">
        <f t="shared" si="2"/>
        <v>0.0040757411575116</v>
      </c>
      <c r="H5">
        <f t="shared" si="3"/>
        <v>3.46779129245402</v>
      </c>
      <c r="I5">
        <f t="shared" si="4"/>
        <v>260.084346934052</v>
      </c>
      <c r="M5">
        <f t="shared" si="5"/>
        <v>-0.106700111838766</v>
      </c>
      <c r="P5">
        <f t="shared" si="6"/>
        <v>0.000936492916858724</v>
      </c>
    </row>
    <row r="6" ht="17.25" spans="1:16">
      <c r="A6" s="8" t="s">
        <v>21</v>
      </c>
      <c r="B6">
        <v>1</v>
      </c>
      <c r="C6">
        <v>3382.87</v>
      </c>
      <c r="D6">
        <v>1</v>
      </c>
      <c r="E6">
        <f t="shared" si="0"/>
        <v>0.25</v>
      </c>
      <c r="F6">
        <f t="shared" si="1"/>
        <v>0.000987166831194472</v>
      </c>
      <c r="G6">
        <f t="shared" si="2"/>
        <v>0.0939921091383957</v>
      </c>
      <c r="H6">
        <f t="shared" si="3"/>
        <v>9.49792759695902</v>
      </c>
      <c r="I6">
        <f t="shared" si="4"/>
        <v>237.448189923975</v>
      </c>
      <c r="M6">
        <f t="shared" si="5"/>
        <v>-0.00683185735858705</v>
      </c>
      <c r="P6">
        <f t="shared" si="6"/>
        <v>9.74498352610535e-7</v>
      </c>
    </row>
    <row r="7" ht="17.25" spans="1:16">
      <c r="A7" s="8" t="s">
        <v>62</v>
      </c>
      <c r="B7">
        <v>1</v>
      </c>
      <c r="C7">
        <v>188.76</v>
      </c>
      <c r="D7">
        <v>1</v>
      </c>
      <c r="E7">
        <f t="shared" si="0"/>
        <v>0.25</v>
      </c>
      <c r="F7">
        <f t="shared" si="1"/>
        <v>0.000987166831194472</v>
      </c>
      <c r="G7">
        <f t="shared" si="2"/>
        <v>0.00524464449445695</v>
      </c>
      <c r="H7">
        <f t="shared" si="3"/>
        <v>0.623181132565142</v>
      </c>
      <c r="I7">
        <f t="shared" si="4"/>
        <v>15.5795283141285</v>
      </c>
      <c r="M7">
        <f t="shared" si="5"/>
        <v>-0.00683185735858705</v>
      </c>
      <c r="P7">
        <f t="shared" si="6"/>
        <v>9.74498352610535e-7</v>
      </c>
    </row>
    <row r="8" ht="17.25" spans="1:16">
      <c r="A8" s="8" t="s">
        <v>26</v>
      </c>
      <c r="B8">
        <v>371</v>
      </c>
      <c r="C8">
        <v>458.72</v>
      </c>
      <c r="D8">
        <v>4</v>
      </c>
      <c r="E8">
        <f t="shared" si="0"/>
        <v>1</v>
      </c>
      <c r="F8">
        <f t="shared" si="1"/>
        <v>0.366238894373149</v>
      </c>
      <c r="G8">
        <f t="shared" si="2"/>
        <v>0.0127454085743658</v>
      </c>
      <c r="H8">
        <f t="shared" si="3"/>
        <v>37.8984302947515</v>
      </c>
      <c r="I8">
        <f t="shared" si="4"/>
        <v>3789.84302947515</v>
      </c>
      <c r="J8" s="3" t="s">
        <v>32</v>
      </c>
      <c r="M8">
        <f t="shared" si="5"/>
        <v>-0.367875777738305</v>
      </c>
      <c r="P8">
        <f t="shared" si="6"/>
        <v>0.134130927751667</v>
      </c>
    </row>
    <row r="9" ht="17.25" spans="1:16">
      <c r="A9" s="8" t="s">
        <v>63</v>
      </c>
      <c r="B9">
        <v>1</v>
      </c>
      <c r="C9">
        <v>10.73</v>
      </c>
      <c r="D9">
        <v>1</v>
      </c>
      <c r="E9">
        <f t="shared" si="0"/>
        <v>0.25</v>
      </c>
      <c r="F9">
        <f t="shared" si="1"/>
        <v>0.000987166831194472</v>
      </c>
      <c r="G9">
        <f t="shared" si="2"/>
        <v>0.000298130088077575</v>
      </c>
      <c r="H9">
        <f t="shared" si="3"/>
        <v>0.128529691927205</v>
      </c>
      <c r="I9">
        <f t="shared" si="4"/>
        <v>3.21324229818012</v>
      </c>
      <c r="M9">
        <f t="shared" si="5"/>
        <v>-0.00683185735858705</v>
      </c>
      <c r="P9">
        <f t="shared" si="6"/>
        <v>9.74498352610535e-7</v>
      </c>
    </row>
    <row r="10" ht="17.25" spans="1:16">
      <c r="A10" s="8" t="s">
        <v>31</v>
      </c>
      <c r="B10">
        <v>70</v>
      </c>
      <c r="C10">
        <v>355.78</v>
      </c>
      <c r="D10">
        <v>4</v>
      </c>
      <c r="E10">
        <f t="shared" si="0"/>
        <v>1</v>
      </c>
      <c r="F10">
        <f t="shared" si="1"/>
        <v>0.069101678183613</v>
      </c>
      <c r="G10">
        <f t="shared" si="2"/>
        <v>0.00988524909005029</v>
      </c>
      <c r="H10">
        <f t="shared" si="3"/>
        <v>7.89869272736633</v>
      </c>
      <c r="I10">
        <f t="shared" si="4"/>
        <v>789.869272736633</v>
      </c>
      <c r="M10">
        <f t="shared" si="5"/>
        <v>-0.184651864120388</v>
      </c>
      <c r="P10">
        <f t="shared" si="6"/>
        <v>0.00477504192779162</v>
      </c>
    </row>
    <row r="11" ht="17.25" spans="1:16">
      <c r="A11" s="8" t="s">
        <v>33</v>
      </c>
      <c r="B11">
        <v>48</v>
      </c>
      <c r="C11">
        <v>1034.96</v>
      </c>
      <c r="D11">
        <v>3</v>
      </c>
      <c r="E11">
        <f t="shared" si="0"/>
        <v>0.75</v>
      </c>
      <c r="F11">
        <f t="shared" si="1"/>
        <v>0.0473840078973346</v>
      </c>
      <c r="G11">
        <f t="shared" si="2"/>
        <v>0.028756077908366</v>
      </c>
      <c r="H11">
        <f t="shared" si="3"/>
        <v>7.61400858057006</v>
      </c>
      <c r="I11">
        <f t="shared" si="4"/>
        <v>571.050643542755</v>
      </c>
      <c r="M11">
        <f t="shared" si="5"/>
        <v>-0.144496133939149</v>
      </c>
      <c r="P11">
        <f t="shared" si="6"/>
        <v>0.00224524420441467</v>
      </c>
    </row>
    <row r="12" ht="17.25" spans="1:16">
      <c r="A12" s="8" t="s">
        <v>34</v>
      </c>
      <c r="B12">
        <v>4</v>
      </c>
      <c r="C12">
        <v>1.8</v>
      </c>
      <c r="D12">
        <v>2</v>
      </c>
      <c r="E12">
        <f t="shared" si="0"/>
        <v>0.5</v>
      </c>
      <c r="F12">
        <f t="shared" si="1"/>
        <v>0.00394866732477789</v>
      </c>
      <c r="G12">
        <f t="shared" si="2"/>
        <v>5.00125031257814e-5</v>
      </c>
      <c r="H12">
        <f t="shared" si="3"/>
        <v>0.399867982790367</v>
      </c>
      <c r="I12">
        <f t="shared" si="4"/>
        <v>19.9933991395183</v>
      </c>
      <c r="M12">
        <f t="shared" si="5"/>
        <v>-0.0218534141880703</v>
      </c>
      <c r="P12">
        <f t="shared" si="6"/>
        <v>1.55919736417686e-5</v>
      </c>
    </row>
    <row r="13" ht="17.25" spans="1:16">
      <c r="A13" s="8" t="s">
        <v>35</v>
      </c>
      <c r="B13">
        <v>201</v>
      </c>
      <c r="C13">
        <v>10801</v>
      </c>
      <c r="D13">
        <v>4</v>
      </c>
      <c r="E13">
        <f t="shared" si="0"/>
        <v>1</v>
      </c>
      <c r="F13">
        <f t="shared" si="1"/>
        <v>0.198420533070089</v>
      </c>
      <c r="G13">
        <f t="shared" si="2"/>
        <v>0.300102803478647</v>
      </c>
      <c r="H13">
        <f t="shared" si="3"/>
        <v>49.8523336548736</v>
      </c>
      <c r="I13">
        <f t="shared" si="4"/>
        <v>4985.23336548736</v>
      </c>
      <c r="J13" s="3" t="s">
        <v>32</v>
      </c>
      <c r="M13">
        <f t="shared" si="5"/>
        <v>-0.320918742185697</v>
      </c>
      <c r="P13">
        <f t="shared" si="6"/>
        <v>0.0393707079438182</v>
      </c>
    </row>
    <row r="14" ht="17.25" spans="1:16">
      <c r="A14" s="8" t="s">
        <v>36</v>
      </c>
      <c r="B14">
        <v>1</v>
      </c>
      <c r="C14">
        <v>945.36</v>
      </c>
      <c r="D14">
        <v>1</v>
      </c>
      <c r="E14">
        <f t="shared" si="0"/>
        <v>0.25</v>
      </c>
      <c r="F14">
        <f t="shared" si="1"/>
        <v>0.000987166831194472</v>
      </c>
      <c r="G14">
        <f t="shared" si="2"/>
        <v>0.0262665666416604</v>
      </c>
      <c r="H14">
        <f t="shared" si="3"/>
        <v>2.72537334728549</v>
      </c>
      <c r="I14">
        <f t="shared" si="4"/>
        <v>68.1343336821372</v>
      </c>
      <c r="M14">
        <f t="shared" si="5"/>
        <v>-0.00683185735858705</v>
      </c>
      <c r="P14">
        <f t="shared" si="6"/>
        <v>9.74498352610535e-7</v>
      </c>
    </row>
    <row r="15" ht="17.25" spans="1:16">
      <c r="A15" s="8" t="s">
        <v>37</v>
      </c>
      <c r="B15">
        <v>18</v>
      </c>
      <c r="C15">
        <v>8595.94</v>
      </c>
      <c r="D15">
        <v>2</v>
      </c>
      <c r="E15">
        <f t="shared" si="0"/>
        <v>0.5</v>
      </c>
      <c r="F15">
        <f t="shared" si="1"/>
        <v>0.0177690029615005</v>
      </c>
      <c r="G15">
        <f t="shared" si="2"/>
        <v>0.238835820066128</v>
      </c>
      <c r="H15">
        <f t="shared" si="3"/>
        <v>25.6604823027628</v>
      </c>
      <c r="I15">
        <f t="shared" si="4"/>
        <v>1283.02411513814</v>
      </c>
      <c r="J15" s="3" t="s">
        <v>32</v>
      </c>
      <c r="M15">
        <f t="shared" si="5"/>
        <v>-0.0716144081286726</v>
      </c>
      <c r="P15">
        <f t="shared" si="6"/>
        <v>0.000315737466245813</v>
      </c>
    </row>
    <row r="16" ht="17.25" spans="1:16">
      <c r="A16" s="8" t="s">
        <v>38</v>
      </c>
      <c r="B16">
        <v>6</v>
      </c>
      <c r="C16">
        <v>5192.6</v>
      </c>
      <c r="D16">
        <v>2</v>
      </c>
      <c r="E16">
        <f t="shared" si="0"/>
        <v>0.5</v>
      </c>
      <c r="F16">
        <f t="shared" si="1"/>
        <v>0.00592300098716683</v>
      </c>
      <c r="G16">
        <f t="shared" si="2"/>
        <v>0.144274957628296</v>
      </c>
      <c r="H16">
        <f t="shared" si="3"/>
        <v>15.0197958615463</v>
      </c>
      <c r="I16">
        <f t="shared" si="4"/>
        <v>750.989793077314</v>
      </c>
      <c r="M16">
        <f t="shared" si="5"/>
        <v>-0.030378551046519</v>
      </c>
      <c r="P16">
        <f t="shared" si="6"/>
        <v>3.50819406939793e-5</v>
      </c>
    </row>
    <row r="17" ht="17.25" spans="1:16">
      <c r="A17" s="8" t="s">
        <v>39</v>
      </c>
      <c r="B17">
        <v>3</v>
      </c>
      <c r="C17">
        <v>3201.1</v>
      </c>
      <c r="D17">
        <v>1</v>
      </c>
      <c r="E17">
        <f t="shared" si="0"/>
        <v>0.25</v>
      </c>
      <c r="F17">
        <f t="shared" si="1"/>
        <v>0.00296150049358342</v>
      </c>
      <c r="G17">
        <f t="shared" si="2"/>
        <v>0.0889416798644105</v>
      </c>
      <c r="H17">
        <f t="shared" si="3"/>
        <v>9.19031803579939</v>
      </c>
      <c r="I17">
        <f t="shared" si="4"/>
        <v>229.757950894985</v>
      </c>
      <c r="M17">
        <f t="shared" si="5"/>
        <v>-0.0172420312406137</v>
      </c>
      <c r="P17">
        <f t="shared" si="6"/>
        <v>8.77048517349482e-6</v>
      </c>
    </row>
    <row r="18" ht="17.25" spans="1:16">
      <c r="A18" s="8" t="s">
        <v>40</v>
      </c>
      <c r="B18">
        <v>23</v>
      </c>
      <c r="C18">
        <v>34.86</v>
      </c>
      <c r="D18">
        <v>3</v>
      </c>
      <c r="E18">
        <f t="shared" si="0"/>
        <v>0.75</v>
      </c>
      <c r="F18">
        <f t="shared" si="1"/>
        <v>0.0227048371174729</v>
      </c>
      <c r="G18">
        <f t="shared" si="2"/>
        <v>0.000968575477202634</v>
      </c>
      <c r="H18">
        <f t="shared" si="3"/>
        <v>2.36734125946755</v>
      </c>
      <c r="I18">
        <f t="shared" si="4"/>
        <v>177.550594460066</v>
      </c>
      <c r="M18">
        <f t="shared" si="5"/>
        <v>-0.0859418337920526</v>
      </c>
      <c r="P18">
        <f t="shared" si="6"/>
        <v>0.000515509628530973</v>
      </c>
    </row>
    <row r="19" ht="17.25" spans="1:16">
      <c r="A19" s="8" t="s">
        <v>44</v>
      </c>
      <c r="B19">
        <v>2</v>
      </c>
      <c r="C19">
        <v>267.35</v>
      </c>
      <c r="D19">
        <v>1</v>
      </c>
      <c r="E19">
        <f t="shared" si="0"/>
        <v>0.25</v>
      </c>
      <c r="F19">
        <f t="shared" si="1"/>
        <v>0.00197433366238894</v>
      </c>
      <c r="G19">
        <f t="shared" si="2"/>
        <v>0.00742824595037648</v>
      </c>
      <c r="H19">
        <f t="shared" si="3"/>
        <v>0.940257961276543</v>
      </c>
      <c r="I19">
        <f t="shared" si="4"/>
        <v>23.5064490319136</v>
      </c>
      <c r="M19">
        <f t="shared" si="5"/>
        <v>-0.0122952109056046</v>
      </c>
      <c r="P19">
        <f t="shared" si="6"/>
        <v>3.89799341044214e-6</v>
      </c>
    </row>
    <row r="20" ht="17.25" spans="1:16">
      <c r="A20" s="8" t="s">
        <v>49</v>
      </c>
      <c r="B20">
        <v>1</v>
      </c>
      <c r="C20">
        <v>405.8</v>
      </c>
      <c r="D20">
        <v>1</v>
      </c>
      <c r="E20">
        <f t="shared" si="0"/>
        <v>0.25</v>
      </c>
      <c r="F20">
        <f t="shared" si="1"/>
        <v>0.000987166831194472</v>
      </c>
      <c r="G20">
        <f t="shared" si="2"/>
        <v>0.0112750409824678</v>
      </c>
      <c r="H20">
        <f t="shared" si="3"/>
        <v>1.22622078136623</v>
      </c>
      <c r="I20">
        <f t="shared" si="4"/>
        <v>30.6555195341558</v>
      </c>
      <c r="M20">
        <f t="shared" si="5"/>
        <v>-0.00683185735858705</v>
      </c>
      <c r="P20">
        <f t="shared" si="6"/>
        <v>9.74498352610535e-7</v>
      </c>
    </row>
    <row r="21" ht="17.25" spans="1:16">
      <c r="A21" s="8" t="s">
        <v>53</v>
      </c>
      <c r="B21">
        <v>204</v>
      </c>
      <c r="C21">
        <v>933.03</v>
      </c>
      <c r="D21">
        <v>4</v>
      </c>
      <c r="E21">
        <f t="shared" si="0"/>
        <v>1</v>
      </c>
      <c r="F21">
        <f t="shared" si="1"/>
        <v>0.201382033563672</v>
      </c>
      <c r="G21">
        <f t="shared" si="2"/>
        <v>0.0259239809952488</v>
      </c>
      <c r="H21">
        <f t="shared" si="3"/>
        <v>22.7306014558921</v>
      </c>
      <c r="I21">
        <f t="shared" si="4"/>
        <v>2273.06014558921</v>
      </c>
      <c r="J21" s="3" t="s">
        <v>32</v>
      </c>
      <c r="M21">
        <f t="shared" si="5"/>
        <v>-0.322725082055786</v>
      </c>
      <c r="P21">
        <f t="shared" si="6"/>
        <v>0.04055472344224</v>
      </c>
    </row>
    <row r="22" ht="17.25" spans="1:16">
      <c r="A22" s="8" t="s">
        <v>56</v>
      </c>
      <c r="B22">
        <v>16</v>
      </c>
      <c r="C22">
        <v>16.71</v>
      </c>
      <c r="D22">
        <v>2</v>
      </c>
      <c r="E22">
        <f t="shared" si="0"/>
        <v>0.5</v>
      </c>
      <c r="F22">
        <f t="shared" si="1"/>
        <v>0.0157946692991115</v>
      </c>
      <c r="G22">
        <f t="shared" si="2"/>
        <v>0.000464282737351004</v>
      </c>
      <c r="H22">
        <f t="shared" si="3"/>
        <v>1.62589520364626</v>
      </c>
      <c r="I22">
        <f t="shared" si="4"/>
        <v>81.2947601823128</v>
      </c>
      <c r="M22">
        <f t="shared" si="5"/>
        <v>-0.0655175957671692</v>
      </c>
      <c r="P22">
        <f t="shared" si="6"/>
        <v>0.000249471578268297</v>
      </c>
    </row>
    <row r="23" ht="17.25" spans="1:16">
      <c r="A23" s="8" t="s">
        <v>57</v>
      </c>
      <c r="B23">
        <v>3</v>
      </c>
      <c r="C23">
        <v>2.21</v>
      </c>
      <c r="D23">
        <v>1</v>
      </c>
      <c r="E23">
        <f t="shared" si="0"/>
        <v>0.25</v>
      </c>
      <c r="F23">
        <f t="shared" si="1"/>
        <v>0.00296150049358342</v>
      </c>
      <c r="G23">
        <f t="shared" si="2"/>
        <v>6.14042399488761e-5</v>
      </c>
      <c r="H23">
        <f t="shared" si="3"/>
        <v>0.302290473353229</v>
      </c>
      <c r="I23">
        <f t="shared" si="4"/>
        <v>7.55726183383073</v>
      </c>
      <c r="M23">
        <f t="shared" si="5"/>
        <v>-0.0172420312406137</v>
      </c>
      <c r="P23">
        <f t="shared" si="6"/>
        <v>8.77048517349482e-6</v>
      </c>
    </row>
    <row r="24" spans="13:16">
      <c r="M24" s="6">
        <v>1.847</v>
      </c>
      <c r="N24" s="6">
        <f>21/LN(1013)</f>
        <v>3.03438762945299</v>
      </c>
      <c r="O24" s="6">
        <f>1.847/LN(22)</f>
        <v>0.597533041965598</v>
      </c>
      <c r="P24" s="6">
        <f>1-0.2232</f>
        <v>0.7768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workbookViewId="0">
      <selection activeCell="A2" sqref="A2:A19"/>
    </sheetView>
  </sheetViews>
  <sheetFormatPr defaultColWidth="8.89166666666667" defaultRowHeight="13.5"/>
  <cols>
    <col min="6" max="9" width="12.8916666666667"/>
    <col min="13" max="13" width="14.1083333333333"/>
    <col min="14" max="16" width="12.8916666666667"/>
  </cols>
  <sheetData>
    <row r="1" ht="17.25" spans="1:16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3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ht="17.25" spans="1:16">
      <c r="A2" s="8" t="s">
        <v>15</v>
      </c>
      <c r="B2">
        <v>12</v>
      </c>
      <c r="C2">
        <v>22.42</v>
      </c>
      <c r="D2">
        <v>1</v>
      </c>
      <c r="E2">
        <f t="shared" ref="E2:E19" si="0">D2/4</f>
        <v>0.25</v>
      </c>
      <c r="F2">
        <f t="shared" ref="F2:F19" si="1">B2/302</f>
        <v>0.0397350993377483</v>
      </c>
      <c r="G2">
        <f t="shared" ref="G2:G19" si="2">C2/11633</f>
        <v>0.00192727585317631</v>
      </c>
      <c r="H2">
        <f t="shared" ref="H2:H19" si="3">(F2+G2)*100</f>
        <v>4.16623751909247</v>
      </c>
      <c r="I2">
        <f t="shared" ref="I2:I19" si="4">H2*100*E2</f>
        <v>104.155937977312</v>
      </c>
      <c r="K2">
        <v>11633</v>
      </c>
      <c r="L2">
        <v>302</v>
      </c>
      <c r="M2">
        <f>F2*LN(F2)</f>
        <v>-0.128166372221995</v>
      </c>
      <c r="P2">
        <f>F2*F2</f>
        <v>0.00157887811938073</v>
      </c>
    </row>
    <row r="3" ht="17.25" spans="1:16">
      <c r="A3" s="8" t="s">
        <v>20</v>
      </c>
      <c r="B3">
        <v>22</v>
      </c>
      <c r="C3">
        <v>270.09</v>
      </c>
      <c r="D3">
        <v>2</v>
      </c>
      <c r="E3">
        <f t="shared" si="0"/>
        <v>0.5</v>
      </c>
      <c r="F3">
        <f t="shared" si="1"/>
        <v>0.0728476821192053</v>
      </c>
      <c r="G3">
        <f t="shared" si="2"/>
        <v>0.0232175707040316</v>
      </c>
      <c r="H3">
        <f t="shared" si="3"/>
        <v>9.60652528232369</v>
      </c>
      <c r="I3">
        <f t="shared" si="4"/>
        <v>480.326264116185</v>
      </c>
      <c r="M3">
        <f t="shared" ref="M3:M19" si="5">F3*LN(F3)</f>
        <v>-0.190816094067431</v>
      </c>
      <c r="P3">
        <f t="shared" ref="P3:P19" si="6">F3*F3</f>
        <v>0.00530678479014078</v>
      </c>
    </row>
    <row r="4" ht="17.25" spans="1:16">
      <c r="A4" s="8" t="s">
        <v>21</v>
      </c>
      <c r="B4">
        <v>1</v>
      </c>
      <c r="C4">
        <v>1434.8</v>
      </c>
      <c r="D4">
        <v>1</v>
      </c>
      <c r="E4">
        <f t="shared" si="0"/>
        <v>0.25</v>
      </c>
      <c r="F4">
        <f t="shared" si="1"/>
        <v>0.0033112582781457</v>
      </c>
      <c r="G4">
        <f t="shared" si="2"/>
        <v>0.123338777615404</v>
      </c>
      <c r="H4">
        <f t="shared" si="3"/>
        <v>12.665003589355</v>
      </c>
      <c r="I4">
        <f t="shared" si="4"/>
        <v>316.625089733875</v>
      </c>
      <c r="M4">
        <f t="shared" si="5"/>
        <v>-0.0189086987330294</v>
      </c>
      <c r="P4">
        <f t="shared" si="6"/>
        <v>1.09644313845884e-5</v>
      </c>
    </row>
    <row r="5" ht="17.25" spans="1:16">
      <c r="A5" s="8" t="s">
        <v>22</v>
      </c>
      <c r="B5">
        <v>4</v>
      </c>
      <c r="C5">
        <v>9.65</v>
      </c>
      <c r="D5">
        <v>1</v>
      </c>
      <c r="E5">
        <f t="shared" si="0"/>
        <v>0.25</v>
      </c>
      <c r="F5">
        <f t="shared" si="1"/>
        <v>0.0132450331125828</v>
      </c>
      <c r="G5">
        <f t="shared" si="2"/>
        <v>0.000829536662941632</v>
      </c>
      <c r="H5">
        <f t="shared" si="3"/>
        <v>1.40745697755244</v>
      </c>
      <c r="I5">
        <f t="shared" si="4"/>
        <v>35.186424438811</v>
      </c>
      <c r="M5">
        <f t="shared" si="5"/>
        <v>-0.0572732802152977</v>
      </c>
      <c r="P5">
        <f t="shared" si="6"/>
        <v>0.000175430902153414</v>
      </c>
    </row>
    <row r="6" ht="17.25" spans="1:16">
      <c r="A6" s="8" t="s">
        <v>23</v>
      </c>
      <c r="B6">
        <v>1</v>
      </c>
      <c r="C6">
        <v>325.29</v>
      </c>
      <c r="D6">
        <v>1</v>
      </c>
      <c r="E6">
        <f t="shared" si="0"/>
        <v>0.25</v>
      </c>
      <c r="F6">
        <f t="shared" si="1"/>
        <v>0.0033112582781457</v>
      </c>
      <c r="G6">
        <f t="shared" si="2"/>
        <v>0.0279626923407548</v>
      </c>
      <c r="H6">
        <f t="shared" si="3"/>
        <v>3.12739506189004</v>
      </c>
      <c r="I6">
        <f t="shared" si="4"/>
        <v>78.1848765472511</v>
      </c>
      <c r="M6">
        <f t="shared" si="5"/>
        <v>-0.0189086987330294</v>
      </c>
      <c r="P6">
        <f t="shared" si="6"/>
        <v>1.09644313845884e-5</v>
      </c>
    </row>
    <row r="7" ht="17.25" spans="1:16">
      <c r="A7" s="8" t="s">
        <v>30</v>
      </c>
      <c r="B7">
        <v>13</v>
      </c>
      <c r="C7">
        <v>58.14</v>
      </c>
      <c r="D7">
        <v>2</v>
      </c>
      <c r="E7">
        <f t="shared" si="0"/>
        <v>0.5</v>
      </c>
      <c r="F7">
        <f t="shared" si="1"/>
        <v>0.043046357615894</v>
      </c>
      <c r="G7">
        <f t="shared" si="2"/>
        <v>0.00499785094128772</v>
      </c>
      <c r="H7">
        <f t="shared" si="3"/>
        <v>4.80442085571817</v>
      </c>
      <c r="I7">
        <f t="shared" si="4"/>
        <v>240.221042785909</v>
      </c>
      <c r="M7">
        <f t="shared" si="5"/>
        <v>-0.135401356221435</v>
      </c>
      <c r="P7">
        <f t="shared" si="6"/>
        <v>0.00185298890399544</v>
      </c>
    </row>
    <row r="8" ht="17.25" spans="1:16">
      <c r="A8" s="8" t="s">
        <v>31</v>
      </c>
      <c r="B8">
        <v>207</v>
      </c>
      <c r="C8">
        <v>1463.51</v>
      </c>
      <c r="D8">
        <v>4</v>
      </c>
      <c r="E8">
        <f t="shared" si="0"/>
        <v>1</v>
      </c>
      <c r="F8">
        <f t="shared" si="1"/>
        <v>0.685430463576159</v>
      </c>
      <c r="G8">
        <f t="shared" si="2"/>
        <v>0.125806756640591</v>
      </c>
      <c r="H8">
        <f t="shared" si="3"/>
        <v>81.123722021675</v>
      </c>
      <c r="I8">
        <f t="shared" si="4"/>
        <v>8112.3722021675</v>
      </c>
      <c r="J8" s="3" t="s">
        <v>32</v>
      </c>
      <c r="M8">
        <f t="shared" si="5"/>
        <v>-0.258892723147903</v>
      </c>
      <c r="P8">
        <f t="shared" si="6"/>
        <v>0.469814920398228</v>
      </c>
    </row>
    <row r="9" ht="17.25" spans="1:16">
      <c r="A9" s="8" t="s">
        <v>33</v>
      </c>
      <c r="B9">
        <v>7</v>
      </c>
      <c r="C9">
        <v>216.08</v>
      </c>
      <c r="D9">
        <v>2</v>
      </c>
      <c r="E9">
        <f t="shared" si="0"/>
        <v>0.5</v>
      </c>
      <c r="F9">
        <f t="shared" si="1"/>
        <v>0.0231788079470199</v>
      </c>
      <c r="G9">
        <f t="shared" si="2"/>
        <v>0.0185747442620132</v>
      </c>
      <c r="H9">
        <f t="shared" si="3"/>
        <v>4.17535522090331</v>
      </c>
      <c r="I9">
        <f t="shared" si="4"/>
        <v>208.767761045166</v>
      </c>
      <c r="M9">
        <f t="shared" si="5"/>
        <v>-0.0872570135040957</v>
      </c>
      <c r="P9">
        <f t="shared" si="6"/>
        <v>0.000537257137844831</v>
      </c>
    </row>
    <row r="10" ht="17.25" spans="1:16">
      <c r="A10" s="8" t="s">
        <v>34</v>
      </c>
      <c r="B10">
        <v>2</v>
      </c>
      <c r="C10">
        <v>1.52</v>
      </c>
      <c r="D10">
        <v>1</v>
      </c>
      <c r="E10">
        <f t="shared" si="0"/>
        <v>0.25</v>
      </c>
      <c r="F10">
        <f t="shared" si="1"/>
        <v>0.00662251655629139</v>
      </c>
      <c r="G10">
        <f t="shared" si="2"/>
        <v>0.000130662769706868</v>
      </c>
      <c r="H10">
        <f t="shared" si="3"/>
        <v>0.675317932599826</v>
      </c>
      <c r="I10">
        <f t="shared" si="4"/>
        <v>16.8829483149956</v>
      </c>
      <c r="M10">
        <f t="shared" si="5"/>
        <v>-0.0332270187868538</v>
      </c>
      <c r="P10">
        <f t="shared" si="6"/>
        <v>4.38577255383536e-5</v>
      </c>
    </row>
    <row r="11" ht="17.25" spans="1:16">
      <c r="A11" s="8" t="s">
        <v>35</v>
      </c>
      <c r="B11">
        <v>8</v>
      </c>
      <c r="C11">
        <v>155.57</v>
      </c>
      <c r="D11">
        <v>3</v>
      </c>
      <c r="E11">
        <f t="shared" si="0"/>
        <v>0.75</v>
      </c>
      <c r="F11">
        <f t="shared" si="1"/>
        <v>0.0264900662251656</v>
      </c>
      <c r="G11">
        <f t="shared" si="2"/>
        <v>0.013373162554801</v>
      </c>
      <c r="H11">
        <f t="shared" si="3"/>
        <v>3.98632287799666</v>
      </c>
      <c r="I11">
        <f t="shared" si="4"/>
        <v>298.974215849749</v>
      </c>
      <c r="M11">
        <f t="shared" si="5"/>
        <v>-0.0961850457137757</v>
      </c>
      <c r="P11">
        <f t="shared" si="6"/>
        <v>0.000701723608613657</v>
      </c>
    </row>
    <row r="12" ht="17.25" spans="1:16">
      <c r="A12" s="8" t="s">
        <v>37</v>
      </c>
      <c r="B12">
        <v>6</v>
      </c>
      <c r="C12">
        <v>788.51</v>
      </c>
      <c r="D12">
        <v>2</v>
      </c>
      <c r="E12">
        <f t="shared" si="0"/>
        <v>0.5</v>
      </c>
      <c r="F12">
        <f t="shared" si="1"/>
        <v>0.0198675496688742</v>
      </c>
      <c r="G12">
        <f t="shared" si="2"/>
        <v>0.0677821714089229</v>
      </c>
      <c r="H12">
        <f t="shared" si="3"/>
        <v>8.76497210777971</v>
      </c>
      <c r="I12">
        <f t="shared" si="4"/>
        <v>438.248605388985</v>
      </c>
      <c r="M12">
        <f t="shared" si="5"/>
        <v>-0.0778543221486122</v>
      </c>
      <c r="P12">
        <f t="shared" si="6"/>
        <v>0.000394719529845182</v>
      </c>
    </row>
    <row r="13" ht="17.25" spans="1:16">
      <c r="A13" s="8" t="s">
        <v>38</v>
      </c>
      <c r="B13">
        <v>5</v>
      </c>
      <c r="C13">
        <v>5324.64</v>
      </c>
      <c r="D13">
        <v>2</v>
      </c>
      <c r="E13">
        <f t="shared" si="0"/>
        <v>0.5</v>
      </c>
      <c r="F13">
        <f t="shared" si="1"/>
        <v>0.0165562913907285</v>
      </c>
      <c r="G13">
        <f t="shared" si="2"/>
        <v>0.457718559271039</v>
      </c>
      <c r="H13">
        <f t="shared" si="3"/>
        <v>47.4274850661768</v>
      </c>
      <c r="I13">
        <f t="shared" si="4"/>
        <v>2371.37425330884</v>
      </c>
      <c r="J13" s="3" t="s">
        <v>32</v>
      </c>
      <c r="M13">
        <f t="shared" si="5"/>
        <v>-0.0678971706116022</v>
      </c>
      <c r="P13">
        <f t="shared" si="6"/>
        <v>0.00027411078461471</v>
      </c>
    </row>
    <row r="14" ht="17.25" spans="1:16">
      <c r="A14" s="8" t="s">
        <v>40</v>
      </c>
      <c r="B14">
        <v>2</v>
      </c>
      <c r="C14">
        <v>7.5</v>
      </c>
      <c r="D14">
        <v>1</v>
      </c>
      <c r="E14">
        <f t="shared" si="0"/>
        <v>0.25</v>
      </c>
      <c r="F14">
        <f t="shared" si="1"/>
        <v>0.00662251655629139</v>
      </c>
      <c r="G14">
        <f t="shared" si="2"/>
        <v>0.000644717613685206</v>
      </c>
      <c r="H14">
        <f t="shared" si="3"/>
        <v>0.72672341699766</v>
      </c>
      <c r="I14">
        <f t="shared" si="4"/>
        <v>18.1680854249415</v>
      </c>
      <c r="M14">
        <f t="shared" si="5"/>
        <v>-0.0332270187868538</v>
      </c>
      <c r="P14">
        <f t="shared" si="6"/>
        <v>4.38577255383536e-5</v>
      </c>
    </row>
    <row r="15" ht="17.25" spans="1:16">
      <c r="A15" s="8" t="s">
        <v>41</v>
      </c>
      <c r="B15">
        <v>1</v>
      </c>
      <c r="C15">
        <v>1.22</v>
      </c>
      <c r="D15">
        <v>1</v>
      </c>
      <c r="E15">
        <f t="shared" si="0"/>
        <v>0.25</v>
      </c>
      <c r="F15">
        <f t="shared" si="1"/>
        <v>0.0033112582781457</v>
      </c>
      <c r="G15">
        <f t="shared" si="2"/>
        <v>0.00010487406515946</v>
      </c>
      <c r="H15">
        <f t="shared" si="3"/>
        <v>0.341613234330516</v>
      </c>
      <c r="I15">
        <f t="shared" si="4"/>
        <v>8.54033085826289</v>
      </c>
      <c r="M15">
        <f t="shared" si="5"/>
        <v>-0.0189086987330294</v>
      </c>
      <c r="P15">
        <f t="shared" si="6"/>
        <v>1.09644313845884e-5</v>
      </c>
    </row>
    <row r="16" ht="17.25" spans="1:16">
      <c r="A16" s="8" t="s">
        <v>44</v>
      </c>
      <c r="B16">
        <v>2</v>
      </c>
      <c r="C16">
        <v>1520</v>
      </c>
      <c r="D16">
        <v>1</v>
      </c>
      <c r="E16">
        <f t="shared" si="0"/>
        <v>0.25</v>
      </c>
      <c r="F16">
        <f t="shared" si="1"/>
        <v>0.00662251655629139</v>
      </c>
      <c r="G16">
        <f t="shared" si="2"/>
        <v>0.130662769706868</v>
      </c>
      <c r="H16">
        <f t="shared" si="3"/>
        <v>13.728528626316</v>
      </c>
      <c r="I16">
        <f t="shared" si="4"/>
        <v>343.213215657899</v>
      </c>
      <c r="M16">
        <f t="shared" si="5"/>
        <v>-0.0332270187868538</v>
      </c>
      <c r="P16">
        <f t="shared" si="6"/>
        <v>4.38577255383536e-5</v>
      </c>
    </row>
    <row r="17" ht="17.25" spans="1:16">
      <c r="A17" s="8" t="s">
        <v>61</v>
      </c>
      <c r="B17">
        <v>2</v>
      </c>
      <c r="C17">
        <v>1.31</v>
      </c>
      <c r="D17">
        <v>1</v>
      </c>
      <c r="E17">
        <f t="shared" si="0"/>
        <v>0.25</v>
      </c>
      <c r="F17">
        <f t="shared" si="1"/>
        <v>0.00662251655629139</v>
      </c>
      <c r="G17">
        <f t="shared" si="2"/>
        <v>0.000112610676523683</v>
      </c>
      <c r="H17">
        <f t="shared" si="3"/>
        <v>0.673512723281507</v>
      </c>
      <c r="I17">
        <f t="shared" si="4"/>
        <v>16.8378180820377</v>
      </c>
      <c r="M17">
        <f t="shared" si="5"/>
        <v>-0.0332270187868538</v>
      </c>
      <c r="P17">
        <f t="shared" si="6"/>
        <v>4.38577255383536e-5</v>
      </c>
    </row>
    <row r="18" ht="17.25" spans="1:16">
      <c r="A18" s="8" t="s">
        <v>53</v>
      </c>
      <c r="B18">
        <v>6</v>
      </c>
      <c r="C18">
        <v>33.22</v>
      </c>
      <c r="D18">
        <v>1</v>
      </c>
      <c r="E18">
        <f t="shared" si="0"/>
        <v>0.25</v>
      </c>
      <c r="F18">
        <f t="shared" si="1"/>
        <v>0.0198675496688742</v>
      </c>
      <c r="G18">
        <f t="shared" si="2"/>
        <v>0.002855669216883</v>
      </c>
      <c r="H18">
        <f t="shared" si="3"/>
        <v>2.27232188857572</v>
      </c>
      <c r="I18">
        <f t="shared" si="4"/>
        <v>56.8080472143929</v>
      </c>
      <c r="M18">
        <f t="shared" si="5"/>
        <v>-0.0778543221486122</v>
      </c>
      <c r="P18">
        <f t="shared" si="6"/>
        <v>0.000394719529845182</v>
      </c>
    </row>
    <row r="19" ht="17.25" spans="1:16">
      <c r="A19" s="8" t="s">
        <v>57</v>
      </c>
      <c r="B19">
        <v>1</v>
      </c>
      <c r="C19">
        <v>0.38</v>
      </c>
      <c r="D19">
        <v>1</v>
      </c>
      <c r="E19">
        <f t="shared" si="0"/>
        <v>0.25</v>
      </c>
      <c r="F19">
        <f t="shared" si="1"/>
        <v>0.0033112582781457</v>
      </c>
      <c r="G19">
        <f t="shared" si="2"/>
        <v>3.26656924267171e-5</v>
      </c>
      <c r="H19">
        <f t="shared" si="3"/>
        <v>0.334392397057241</v>
      </c>
      <c r="I19">
        <f t="shared" si="4"/>
        <v>8.35980992643103</v>
      </c>
      <c r="M19">
        <f t="shared" si="5"/>
        <v>-0.0189086987330294</v>
      </c>
      <c r="P19">
        <f t="shared" si="6"/>
        <v>1.09644313845884e-5</v>
      </c>
    </row>
    <row r="20" spans="13:16">
      <c r="M20" s="6">
        <v>1.386</v>
      </c>
      <c r="N20" s="6">
        <f>17/LN(302)</f>
        <v>2.97701029157274</v>
      </c>
      <c r="O20" s="6">
        <f>1.386/LN(18)</f>
        <v>0.479523091178014</v>
      </c>
      <c r="P20" s="6">
        <f>1-0.4812</f>
        <v>0.5188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A2" sqref="A2:A24"/>
    </sheetView>
  </sheetViews>
  <sheetFormatPr defaultColWidth="8.89166666666667" defaultRowHeight="13.5"/>
  <cols>
    <col min="6" max="9" width="12.8916666666667"/>
    <col min="13" max="13" width="14.1083333333333"/>
    <col min="14" max="16" width="12.8916666666667"/>
  </cols>
  <sheetData>
    <row r="1" ht="17.25" spans="1:16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3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ht="17.25" spans="1:16">
      <c r="A2" s="8" t="s">
        <v>15</v>
      </c>
      <c r="B2">
        <v>17</v>
      </c>
      <c r="C2">
        <v>51.34</v>
      </c>
      <c r="D2">
        <v>2</v>
      </c>
      <c r="E2">
        <f t="shared" ref="E2:E24" si="0">D2/4</f>
        <v>0.5</v>
      </c>
      <c r="F2">
        <f t="shared" ref="F2:F24" si="1">B2/461</f>
        <v>0.0368763557483731</v>
      </c>
      <c r="G2">
        <f t="shared" ref="G2:G24" si="2">C2/14017</f>
        <v>0.00366269529856603</v>
      </c>
      <c r="H2">
        <f t="shared" ref="H2:H24" si="3">(F2+G2)*100</f>
        <v>4.05390510469391</v>
      </c>
      <c r="I2">
        <f t="shared" ref="I2:I24" si="4">H2*E2*100</f>
        <v>202.695255234696</v>
      </c>
      <c r="K2">
        <v>14017</v>
      </c>
      <c r="L2">
        <v>461</v>
      </c>
      <c r="M2">
        <f>F2*LN(F2)</f>
        <v>-0.121698784993465</v>
      </c>
      <c r="P2">
        <f>F2*F2</f>
        <v>0.00135986561328057</v>
      </c>
    </row>
    <row r="3" ht="17.25" spans="1:16">
      <c r="A3" s="8" t="s">
        <v>19</v>
      </c>
      <c r="B3">
        <v>1</v>
      </c>
      <c r="C3">
        <v>0.55</v>
      </c>
      <c r="D3">
        <v>1</v>
      </c>
      <c r="E3">
        <f t="shared" si="0"/>
        <v>0.25</v>
      </c>
      <c r="F3">
        <f t="shared" si="1"/>
        <v>0.00216919739696312</v>
      </c>
      <c r="G3">
        <f t="shared" si="2"/>
        <v>3.92380680602126e-5</v>
      </c>
      <c r="H3">
        <f t="shared" si="3"/>
        <v>0.220843546502334</v>
      </c>
      <c r="I3">
        <f t="shared" si="4"/>
        <v>5.52108866255834</v>
      </c>
      <c r="M3">
        <f t="shared" ref="M3:M24" si="5">F3*LN(F3)</f>
        <v>-0.013304551069407</v>
      </c>
      <c r="P3">
        <f t="shared" ref="P3:P24" si="6">F3*F3</f>
        <v>4.70541734699159e-6</v>
      </c>
    </row>
    <row r="4" ht="17.25" spans="1:16">
      <c r="A4" s="8" t="s">
        <v>20</v>
      </c>
      <c r="B4">
        <v>67</v>
      </c>
      <c r="C4">
        <v>323.65</v>
      </c>
      <c r="D4">
        <v>4</v>
      </c>
      <c r="E4">
        <f t="shared" si="0"/>
        <v>1</v>
      </c>
      <c r="F4">
        <f t="shared" si="1"/>
        <v>0.145336225596529</v>
      </c>
      <c r="G4">
        <f t="shared" si="2"/>
        <v>0.0230898195048869</v>
      </c>
      <c r="H4">
        <f t="shared" si="3"/>
        <v>16.8426045101416</v>
      </c>
      <c r="I4">
        <f t="shared" si="4"/>
        <v>1684.26045101416</v>
      </c>
      <c r="J4" s="3" t="s">
        <v>32</v>
      </c>
      <c r="M4">
        <f t="shared" si="5"/>
        <v>-0.280310766554405</v>
      </c>
      <c r="P4">
        <f t="shared" si="6"/>
        <v>0.0211226184706453</v>
      </c>
    </row>
    <row r="5" ht="17.25" spans="1:16">
      <c r="A5" s="8" t="s">
        <v>21</v>
      </c>
      <c r="B5">
        <v>1</v>
      </c>
      <c r="C5">
        <v>748.1</v>
      </c>
      <c r="D5">
        <v>1</v>
      </c>
      <c r="E5">
        <f t="shared" si="0"/>
        <v>0.25</v>
      </c>
      <c r="F5">
        <f t="shared" si="1"/>
        <v>0.00216919739696312</v>
      </c>
      <c r="G5">
        <f t="shared" si="2"/>
        <v>0.0533709067560819</v>
      </c>
      <c r="H5">
        <f t="shared" si="3"/>
        <v>5.5540104153045</v>
      </c>
      <c r="I5">
        <f t="shared" si="4"/>
        <v>138.850260382613</v>
      </c>
      <c r="M5">
        <f t="shared" si="5"/>
        <v>-0.013304551069407</v>
      </c>
      <c r="P5">
        <f t="shared" si="6"/>
        <v>4.70541734699159e-6</v>
      </c>
    </row>
    <row r="6" ht="17.25" spans="1:16">
      <c r="A6" s="8" t="s">
        <v>22</v>
      </c>
      <c r="B6">
        <v>2</v>
      </c>
      <c r="C6">
        <v>5.91</v>
      </c>
      <c r="D6">
        <v>1</v>
      </c>
      <c r="E6">
        <f t="shared" si="0"/>
        <v>0.25</v>
      </c>
      <c r="F6">
        <f t="shared" si="1"/>
        <v>0.00433839479392625</v>
      </c>
      <c r="G6">
        <f t="shared" si="2"/>
        <v>0.000421630876792466</v>
      </c>
      <c r="H6">
        <f t="shared" si="3"/>
        <v>0.476002567071871</v>
      </c>
      <c r="I6">
        <f t="shared" si="4"/>
        <v>11.9000641767968</v>
      </c>
      <c r="M6">
        <f t="shared" si="5"/>
        <v>-0.0236019560192482</v>
      </c>
      <c r="P6">
        <f t="shared" si="6"/>
        <v>1.88216693879664e-5</v>
      </c>
    </row>
    <row r="7" ht="17.25" spans="1:16">
      <c r="A7" s="8" t="s">
        <v>23</v>
      </c>
      <c r="B7">
        <v>2</v>
      </c>
      <c r="C7">
        <v>449.87</v>
      </c>
      <c r="D7">
        <v>1</v>
      </c>
      <c r="E7">
        <f t="shared" si="0"/>
        <v>0.25</v>
      </c>
      <c r="F7">
        <f t="shared" si="1"/>
        <v>0.00433839479392625</v>
      </c>
      <c r="G7">
        <f t="shared" si="2"/>
        <v>0.0320945994149961</v>
      </c>
      <c r="H7">
        <f t="shared" si="3"/>
        <v>3.64329942089223</v>
      </c>
      <c r="I7">
        <f t="shared" si="4"/>
        <v>91.0824855223058</v>
      </c>
      <c r="M7">
        <f t="shared" si="5"/>
        <v>-0.0236019560192482</v>
      </c>
      <c r="P7">
        <f t="shared" si="6"/>
        <v>1.88216693879664e-5</v>
      </c>
    </row>
    <row r="8" ht="17.25" spans="1:16">
      <c r="A8" s="8" t="s">
        <v>25</v>
      </c>
      <c r="B8">
        <v>1</v>
      </c>
      <c r="C8">
        <v>19.64</v>
      </c>
      <c r="D8">
        <v>1</v>
      </c>
      <c r="E8">
        <f t="shared" si="0"/>
        <v>0.25</v>
      </c>
      <c r="F8">
        <f t="shared" si="1"/>
        <v>0.00216919739696312</v>
      </c>
      <c r="G8">
        <f t="shared" si="2"/>
        <v>0.00140115573945923</v>
      </c>
      <c r="H8">
        <f t="shared" si="3"/>
        <v>0.357035313642235</v>
      </c>
      <c r="I8">
        <f t="shared" si="4"/>
        <v>8.92588284105588</v>
      </c>
      <c r="M8">
        <f t="shared" si="5"/>
        <v>-0.013304551069407</v>
      </c>
      <c r="P8">
        <f t="shared" si="6"/>
        <v>4.70541734699159e-6</v>
      </c>
    </row>
    <row r="9" ht="17.25" spans="1:16">
      <c r="A9" s="8" t="s">
        <v>26</v>
      </c>
      <c r="B9">
        <v>16</v>
      </c>
      <c r="C9">
        <v>19.48</v>
      </c>
      <c r="D9">
        <v>3</v>
      </c>
      <c r="E9">
        <f t="shared" si="0"/>
        <v>0.75</v>
      </c>
      <c r="F9">
        <f t="shared" si="1"/>
        <v>0.03470715835141</v>
      </c>
      <c r="G9">
        <f t="shared" si="2"/>
        <v>0.0013897410287508</v>
      </c>
      <c r="H9">
        <f t="shared" si="3"/>
        <v>3.60968993801608</v>
      </c>
      <c r="I9">
        <f t="shared" si="4"/>
        <v>270.726745351206</v>
      </c>
      <c r="M9">
        <f t="shared" si="5"/>
        <v>-0.116644141284403</v>
      </c>
      <c r="P9">
        <f t="shared" si="6"/>
        <v>0.00120458684082985</v>
      </c>
    </row>
    <row r="10" ht="17.25" spans="1:16">
      <c r="A10" s="8" t="s">
        <v>29</v>
      </c>
      <c r="B10">
        <v>5</v>
      </c>
      <c r="C10">
        <v>340.25</v>
      </c>
      <c r="D10">
        <v>2</v>
      </c>
      <c r="E10">
        <f t="shared" si="0"/>
        <v>0.5</v>
      </c>
      <c r="F10">
        <f t="shared" si="1"/>
        <v>0.0108459869848156</v>
      </c>
      <c r="G10">
        <f t="shared" si="2"/>
        <v>0.0242740957408861</v>
      </c>
      <c r="H10">
        <f t="shared" si="3"/>
        <v>3.51200827257017</v>
      </c>
      <c r="I10">
        <f t="shared" si="4"/>
        <v>175.600413628508</v>
      </c>
      <c r="M10">
        <f t="shared" si="5"/>
        <v>-0.0490668126959062</v>
      </c>
      <c r="P10">
        <f t="shared" si="6"/>
        <v>0.00011763543367479</v>
      </c>
    </row>
    <row r="11" ht="17.25" spans="1:16">
      <c r="A11" s="8" t="s">
        <v>30</v>
      </c>
      <c r="B11">
        <v>1</v>
      </c>
      <c r="C11">
        <v>2.52</v>
      </c>
      <c r="D11">
        <v>1</v>
      </c>
      <c r="E11">
        <f t="shared" si="0"/>
        <v>0.25</v>
      </c>
      <c r="F11">
        <f t="shared" si="1"/>
        <v>0.00216919739696312</v>
      </c>
      <c r="G11">
        <f t="shared" si="2"/>
        <v>0.000179781693657701</v>
      </c>
      <c r="H11">
        <f t="shared" si="3"/>
        <v>0.234897909062083</v>
      </c>
      <c r="I11">
        <f t="shared" si="4"/>
        <v>5.87244772655206</v>
      </c>
      <c r="M11">
        <f t="shared" si="5"/>
        <v>-0.013304551069407</v>
      </c>
      <c r="P11">
        <f t="shared" si="6"/>
        <v>4.70541734699159e-6</v>
      </c>
    </row>
    <row r="12" ht="17.25" spans="1:16">
      <c r="A12" s="8" t="s">
        <v>31</v>
      </c>
      <c r="B12">
        <v>59</v>
      </c>
      <c r="C12">
        <v>404.53</v>
      </c>
      <c r="D12">
        <v>3</v>
      </c>
      <c r="E12">
        <f t="shared" si="0"/>
        <v>0.75</v>
      </c>
      <c r="F12">
        <f t="shared" si="1"/>
        <v>0.127982646420824</v>
      </c>
      <c r="G12">
        <f t="shared" si="2"/>
        <v>0.028859955767996</v>
      </c>
      <c r="H12">
        <f t="shared" si="3"/>
        <v>15.684260218882</v>
      </c>
      <c r="I12">
        <f t="shared" si="4"/>
        <v>1176.31951641615</v>
      </c>
      <c r="J12" s="3" t="s">
        <v>32</v>
      </c>
      <c r="M12">
        <f t="shared" si="5"/>
        <v>-0.263114480143958</v>
      </c>
      <c r="P12">
        <f t="shared" si="6"/>
        <v>0.0163795577848777</v>
      </c>
    </row>
    <row r="13" ht="17.25" spans="1:16">
      <c r="A13" s="8" t="s">
        <v>33</v>
      </c>
      <c r="B13">
        <v>18</v>
      </c>
      <c r="C13">
        <v>2641.69</v>
      </c>
      <c r="D13">
        <v>3</v>
      </c>
      <c r="E13">
        <f t="shared" si="0"/>
        <v>0.75</v>
      </c>
      <c r="F13">
        <f t="shared" si="1"/>
        <v>0.0390455531453362</v>
      </c>
      <c r="G13">
        <f t="shared" si="2"/>
        <v>0.188463294570878</v>
      </c>
      <c r="H13">
        <f t="shared" si="3"/>
        <v>22.7508847716214</v>
      </c>
      <c r="I13">
        <f t="shared" si="4"/>
        <v>1706.31635787161</v>
      </c>
      <c r="J13" s="3" t="s">
        <v>32</v>
      </c>
      <c r="M13">
        <f t="shared" si="5"/>
        <v>-0.126625755166613</v>
      </c>
      <c r="P13">
        <f t="shared" si="6"/>
        <v>0.00152455522042528</v>
      </c>
    </row>
    <row r="14" ht="17.25" spans="1:16">
      <c r="A14" s="8" t="s">
        <v>34</v>
      </c>
      <c r="B14">
        <v>16</v>
      </c>
      <c r="C14">
        <v>10.76</v>
      </c>
      <c r="D14">
        <v>3</v>
      </c>
      <c r="E14">
        <f t="shared" si="0"/>
        <v>0.75</v>
      </c>
      <c r="F14">
        <f t="shared" si="1"/>
        <v>0.03470715835141</v>
      </c>
      <c r="G14">
        <f t="shared" si="2"/>
        <v>0.000767639295141614</v>
      </c>
      <c r="H14">
        <f t="shared" si="3"/>
        <v>3.54747976465516</v>
      </c>
      <c r="I14">
        <f t="shared" si="4"/>
        <v>266.060982349137</v>
      </c>
      <c r="M14">
        <f t="shared" si="5"/>
        <v>-0.116644141284403</v>
      </c>
      <c r="P14">
        <f t="shared" si="6"/>
        <v>0.00120458684082985</v>
      </c>
    </row>
    <row r="15" ht="17.25" spans="1:16">
      <c r="A15" s="8" t="s">
        <v>35</v>
      </c>
      <c r="B15">
        <v>25</v>
      </c>
      <c r="C15">
        <v>567.27</v>
      </c>
      <c r="D15">
        <v>3</v>
      </c>
      <c r="E15">
        <f t="shared" si="0"/>
        <v>0.75</v>
      </c>
      <c r="F15">
        <f t="shared" si="1"/>
        <v>0.0542299349240781</v>
      </c>
      <c r="G15">
        <f t="shared" si="2"/>
        <v>0.0404701433973033</v>
      </c>
      <c r="H15">
        <f t="shared" si="3"/>
        <v>9.47000783213814</v>
      </c>
      <c r="I15">
        <f t="shared" si="4"/>
        <v>710.25058741036</v>
      </c>
      <c r="M15">
        <f t="shared" si="5"/>
        <v>-0.158054350223885</v>
      </c>
      <c r="P15">
        <f t="shared" si="6"/>
        <v>0.00294088584186974</v>
      </c>
    </row>
    <row r="16" ht="17.25" spans="1:16">
      <c r="A16" s="8" t="s">
        <v>37</v>
      </c>
      <c r="B16">
        <v>15</v>
      </c>
      <c r="C16">
        <v>3697.94</v>
      </c>
      <c r="D16">
        <v>3</v>
      </c>
      <c r="E16">
        <f t="shared" si="0"/>
        <v>0.75</v>
      </c>
      <c r="F16">
        <f t="shared" si="1"/>
        <v>0.0325379609544469</v>
      </c>
      <c r="G16">
        <f t="shared" si="2"/>
        <v>0.263818220731968</v>
      </c>
      <c r="H16">
        <f t="shared" si="3"/>
        <v>29.6356181686415</v>
      </c>
      <c r="I16">
        <f t="shared" si="4"/>
        <v>2222.67136264811</v>
      </c>
      <c r="J16" s="3" t="s">
        <v>32</v>
      </c>
      <c r="M16">
        <f t="shared" si="5"/>
        <v>-0.11145383433496</v>
      </c>
      <c r="P16">
        <f t="shared" si="6"/>
        <v>0.00105871890307311</v>
      </c>
    </row>
    <row r="17" ht="17.25" spans="1:16">
      <c r="A17" s="8" t="s">
        <v>38</v>
      </c>
      <c r="B17">
        <v>3</v>
      </c>
      <c r="C17">
        <v>2657.17</v>
      </c>
      <c r="D17">
        <v>1</v>
      </c>
      <c r="E17">
        <f t="shared" si="0"/>
        <v>0.25</v>
      </c>
      <c r="F17">
        <f t="shared" si="1"/>
        <v>0.00650759219088937</v>
      </c>
      <c r="G17">
        <f t="shared" si="2"/>
        <v>0.189567667831918</v>
      </c>
      <c r="H17">
        <f t="shared" si="3"/>
        <v>19.6075260022808</v>
      </c>
      <c r="I17">
        <f t="shared" si="4"/>
        <v>490.188150057019</v>
      </c>
      <c r="M17">
        <f t="shared" si="5"/>
        <v>-0.0327643324576695</v>
      </c>
      <c r="P17">
        <f t="shared" si="6"/>
        <v>4.23487561229243e-5</v>
      </c>
    </row>
    <row r="18" ht="17.25" spans="1:16">
      <c r="A18" s="8" t="s">
        <v>40</v>
      </c>
      <c r="B18">
        <v>12</v>
      </c>
      <c r="C18">
        <v>12.52</v>
      </c>
      <c r="D18">
        <v>2</v>
      </c>
      <c r="E18">
        <f t="shared" si="0"/>
        <v>0.5</v>
      </c>
      <c r="F18">
        <f t="shared" si="1"/>
        <v>0.0260303687635575</v>
      </c>
      <c r="G18">
        <f t="shared" si="2"/>
        <v>0.000893201112934294</v>
      </c>
      <c r="H18">
        <f t="shared" si="3"/>
        <v>2.69235698764918</v>
      </c>
      <c r="I18">
        <f t="shared" si="4"/>
        <v>134.617849382459</v>
      </c>
      <c r="M18">
        <f t="shared" si="5"/>
        <v>-0.0949715763958867</v>
      </c>
      <c r="P18">
        <f t="shared" si="6"/>
        <v>0.000677580097966789</v>
      </c>
    </row>
    <row r="19" ht="17.25" spans="1:16">
      <c r="A19" s="8" t="s">
        <v>41</v>
      </c>
      <c r="B19">
        <v>4</v>
      </c>
      <c r="C19">
        <v>2.94</v>
      </c>
      <c r="D19">
        <v>2</v>
      </c>
      <c r="E19">
        <f t="shared" si="0"/>
        <v>0.5</v>
      </c>
      <c r="F19">
        <f t="shared" si="1"/>
        <v>0.00867678958785249</v>
      </c>
      <c r="G19">
        <f t="shared" si="2"/>
        <v>0.000209745309267318</v>
      </c>
      <c r="H19">
        <f t="shared" si="3"/>
        <v>0.888653489711981</v>
      </c>
      <c r="I19">
        <f t="shared" si="4"/>
        <v>44.4326744855991</v>
      </c>
      <c r="M19">
        <f t="shared" si="5"/>
        <v>-0.0411896197993645</v>
      </c>
      <c r="P19">
        <f t="shared" si="6"/>
        <v>7.52866775518655e-5</v>
      </c>
    </row>
    <row r="20" ht="17.25" spans="1:16">
      <c r="A20" s="8" t="s">
        <v>61</v>
      </c>
      <c r="B20">
        <v>6</v>
      </c>
      <c r="C20">
        <v>5.48</v>
      </c>
      <c r="D20">
        <v>1</v>
      </c>
      <c r="E20">
        <f t="shared" si="0"/>
        <v>0.25</v>
      </c>
      <c r="F20">
        <f t="shared" si="1"/>
        <v>0.0130151843817787</v>
      </c>
      <c r="G20">
        <f t="shared" si="2"/>
        <v>0.000390953841763573</v>
      </c>
      <c r="H20">
        <f t="shared" si="3"/>
        <v>1.34061382235423</v>
      </c>
      <c r="I20">
        <f t="shared" si="4"/>
        <v>33.5153455588558</v>
      </c>
      <c r="M20">
        <f t="shared" si="5"/>
        <v>-0.0565072265566411</v>
      </c>
      <c r="P20">
        <f t="shared" si="6"/>
        <v>0.000169395024491697</v>
      </c>
    </row>
    <row r="21" ht="17.25" spans="1:16">
      <c r="A21" s="8" t="s">
        <v>59</v>
      </c>
      <c r="B21">
        <v>1</v>
      </c>
      <c r="C21">
        <v>1337.1</v>
      </c>
      <c r="D21">
        <v>1</v>
      </c>
      <c r="E21">
        <f t="shared" si="0"/>
        <v>0.25</v>
      </c>
      <c r="F21">
        <f t="shared" si="1"/>
        <v>0.00216919739696312</v>
      </c>
      <c r="G21">
        <f t="shared" si="2"/>
        <v>0.0953913105514732</v>
      </c>
      <c r="H21">
        <f t="shared" si="3"/>
        <v>9.75605079484363</v>
      </c>
      <c r="I21">
        <f t="shared" si="4"/>
        <v>243.901269871091</v>
      </c>
      <c r="M21">
        <f t="shared" si="5"/>
        <v>-0.013304551069407</v>
      </c>
      <c r="P21">
        <f t="shared" si="6"/>
        <v>4.70541734699159e-6</v>
      </c>
    </row>
    <row r="22" ht="17.25" spans="1:16">
      <c r="A22" s="8" t="s">
        <v>53</v>
      </c>
      <c r="B22">
        <v>160</v>
      </c>
      <c r="C22">
        <v>696.47</v>
      </c>
      <c r="D22">
        <v>3</v>
      </c>
      <c r="E22">
        <f t="shared" si="0"/>
        <v>0.75</v>
      </c>
      <c r="F22">
        <f t="shared" si="1"/>
        <v>0.3470715835141</v>
      </c>
      <c r="G22">
        <f t="shared" si="2"/>
        <v>0.0496875222943569</v>
      </c>
      <c r="H22">
        <f t="shared" si="3"/>
        <v>39.6759105808457</v>
      </c>
      <c r="I22">
        <f t="shared" si="4"/>
        <v>2975.69329356342</v>
      </c>
      <c r="J22" s="3" t="s">
        <v>32</v>
      </c>
      <c r="M22">
        <f t="shared" si="5"/>
        <v>-0.367279558442628</v>
      </c>
      <c r="P22">
        <f t="shared" si="6"/>
        <v>0.120458684082985</v>
      </c>
    </row>
    <row r="23" ht="17.25" spans="1:16">
      <c r="A23" s="8" t="s">
        <v>56</v>
      </c>
      <c r="B23">
        <v>22</v>
      </c>
      <c r="C23">
        <v>14.22</v>
      </c>
      <c r="D23">
        <v>1</v>
      </c>
      <c r="E23">
        <f t="shared" si="0"/>
        <v>0.25</v>
      </c>
      <c r="F23">
        <f t="shared" si="1"/>
        <v>0.0477223427331887</v>
      </c>
      <c r="G23">
        <f t="shared" si="2"/>
        <v>0.00101448241421131</v>
      </c>
      <c r="H23">
        <f t="shared" si="3"/>
        <v>4.87368251474</v>
      </c>
      <c r="I23">
        <f t="shared" si="4"/>
        <v>121.8420628685</v>
      </c>
      <c r="M23">
        <f t="shared" si="5"/>
        <v>-0.145188336164953</v>
      </c>
      <c r="P23">
        <f t="shared" si="6"/>
        <v>0.00227742199594393</v>
      </c>
    </row>
    <row r="24" ht="17.25" spans="1:16">
      <c r="A24" s="8" t="s">
        <v>57</v>
      </c>
      <c r="B24">
        <v>7</v>
      </c>
      <c r="C24">
        <v>8.11</v>
      </c>
      <c r="D24">
        <v>2</v>
      </c>
      <c r="E24">
        <f t="shared" si="0"/>
        <v>0.5</v>
      </c>
      <c r="F24">
        <f t="shared" si="1"/>
        <v>0.0151843817787419</v>
      </c>
      <c r="G24">
        <f t="shared" si="2"/>
        <v>0.000578583149033317</v>
      </c>
      <c r="H24">
        <f t="shared" si="3"/>
        <v>1.57629649277752</v>
      </c>
      <c r="I24">
        <f t="shared" si="4"/>
        <v>78.8148246388759</v>
      </c>
      <c r="M24">
        <f t="shared" si="5"/>
        <v>-0.063584414875465</v>
      </c>
      <c r="P24">
        <f t="shared" si="6"/>
        <v>0.000230565450002588</v>
      </c>
    </row>
    <row r="25" spans="13:16">
      <c r="M25" s="6">
        <v>2.258</v>
      </c>
      <c r="N25" s="6">
        <f>22/LN(461)</f>
        <v>3.58691867799457</v>
      </c>
      <c r="O25" s="6">
        <f>2.258/LN(23)</f>
        <v>0.720141656944783</v>
      </c>
      <c r="P25" s="6">
        <f>1-0.1709</f>
        <v>0.8291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workbookViewId="0">
      <selection activeCell="A28" sqref="A28"/>
    </sheetView>
  </sheetViews>
  <sheetFormatPr defaultColWidth="8.89166666666667" defaultRowHeight="13.5"/>
  <cols>
    <col min="1" max="1" width="27.5" customWidth="1"/>
    <col min="6" max="9" width="12.8916666666667"/>
    <col min="13" max="13" width="14.1083333333333"/>
    <col min="14" max="16" width="12.8916666666667"/>
  </cols>
  <sheetData>
    <row r="1" ht="17.25" spans="1:16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3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ht="17.25" spans="1:16">
      <c r="A2" s="8" t="s">
        <v>15</v>
      </c>
      <c r="B2">
        <v>6</v>
      </c>
      <c r="C2">
        <v>17.88</v>
      </c>
      <c r="D2">
        <v>2</v>
      </c>
      <c r="E2">
        <f t="shared" ref="E2:E26" si="0">D2/4</f>
        <v>0.5</v>
      </c>
      <c r="F2">
        <f t="shared" ref="F2:F26" si="1">B2/548</f>
        <v>0.0109489051094891</v>
      </c>
      <c r="G2">
        <f t="shared" ref="G2:G26" si="2">C2/40986</f>
        <v>0.000436246523203045</v>
      </c>
      <c r="H2">
        <f t="shared" ref="H2:H26" si="3">(F2+G2)*100</f>
        <v>1.13851516326921</v>
      </c>
      <c r="I2">
        <f t="shared" ref="I2:I26" si="4">H2*100*E2</f>
        <v>56.9257581634605</v>
      </c>
      <c r="K2">
        <v>40986</v>
      </c>
      <c r="L2">
        <v>548</v>
      </c>
      <c r="M2">
        <f>F2*LN(F2)</f>
        <v>-0.0494290053035032</v>
      </c>
      <c r="P2">
        <f>F2*F2</f>
        <v>0.000119878523096595</v>
      </c>
    </row>
    <row r="3" ht="17.25" spans="1:16">
      <c r="A3" s="8" t="s">
        <v>19</v>
      </c>
      <c r="B3">
        <v>1</v>
      </c>
      <c r="C3">
        <v>0.43</v>
      </c>
      <c r="D3">
        <v>1</v>
      </c>
      <c r="E3">
        <f t="shared" si="0"/>
        <v>0.25</v>
      </c>
      <c r="F3">
        <f t="shared" si="1"/>
        <v>0.00182481751824818</v>
      </c>
      <c r="G3">
        <f t="shared" si="2"/>
        <v>1.04913873029815e-5</v>
      </c>
      <c r="H3">
        <f t="shared" si="3"/>
        <v>0.183530890555116</v>
      </c>
      <c r="I3">
        <f t="shared" si="4"/>
        <v>4.58827226387789</v>
      </c>
      <c r="M3">
        <f t="shared" ref="M3:M26" si="5">F3*LN(F3)</f>
        <v>-0.0115078016185183</v>
      </c>
      <c r="P3">
        <f t="shared" ref="P3:P26" si="6">F3*F3</f>
        <v>3.32995897490543e-6</v>
      </c>
    </row>
    <row r="4" ht="17.25" spans="1:16">
      <c r="A4" s="8" t="s">
        <v>20</v>
      </c>
      <c r="B4">
        <v>31</v>
      </c>
      <c r="C4">
        <v>231.48</v>
      </c>
      <c r="D4">
        <v>3</v>
      </c>
      <c r="E4">
        <f t="shared" si="0"/>
        <v>0.75</v>
      </c>
      <c r="F4">
        <f t="shared" si="1"/>
        <v>0.0565693430656934</v>
      </c>
      <c r="G4">
        <f t="shared" si="2"/>
        <v>0.0056477821695213</v>
      </c>
      <c r="H4">
        <f t="shared" si="3"/>
        <v>6.22171252352147</v>
      </c>
      <c r="I4">
        <f t="shared" si="4"/>
        <v>466.62843926411</v>
      </c>
      <c r="M4">
        <f t="shared" si="5"/>
        <v>-0.162483449920345</v>
      </c>
      <c r="P4">
        <f t="shared" si="6"/>
        <v>0.00320009057488412</v>
      </c>
    </row>
    <row r="5" ht="17.25" spans="1:16">
      <c r="A5" s="8" t="s">
        <v>22</v>
      </c>
      <c r="B5">
        <v>7</v>
      </c>
      <c r="C5">
        <v>21.32</v>
      </c>
      <c r="D5">
        <v>2</v>
      </c>
      <c r="E5">
        <f t="shared" si="0"/>
        <v>0.5</v>
      </c>
      <c r="F5">
        <f t="shared" si="1"/>
        <v>0.0127737226277372</v>
      </c>
      <c r="G5">
        <f t="shared" si="2"/>
        <v>0.000520177621626897</v>
      </c>
      <c r="H5">
        <f t="shared" si="3"/>
        <v>1.32939002493641</v>
      </c>
      <c r="I5">
        <f t="shared" si="4"/>
        <v>66.4695012468206</v>
      </c>
      <c r="M5">
        <f t="shared" si="5"/>
        <v>-0.0556980948270966</v>
      </c>
      <c r="P5">
        <f t="shared" si="6"/>
        <v>0.000163167989770366</v>
      </c>
    </row>
    <row r="6" ht="17.25" spans="1:16">
      <c r="A6" s="8" t="s">
        <v>23</v>
      </c>
      <c r="B6">
        <v>1</v>
      </c>
      <c r="C6">
        <v>346.2</v>
      </c>
      <c r="D6">
        <v>1</v>
      </c>
      <c r="E6">
        <f t="shared" si="0"/>
        <v>0.25</v>
      </c>
      <c r="F6">
        <f t="shared" si="1"/>
        <v>0.00182481751824818</v>
      </c>
      <c r="G6">
        <f t="shared" si="2"/>
        <v>0.00844678670765627</v>
      </c>
      <c r="H6">
        <f t="shared" si="3"/>
        <v>1.02716042259044</v>
      </c>
      <c r="I6">
        <f t="shared" si="4"/>
        <v>25.6790105647611</v>
      </c>
      <c r="M6">
        <f t="shared" si="5"/>
        <v>-0.0115078016185183</v>
      </c>
      <c r="P6">
        <f t="shared" si="6"/>
        <v>3.32995897490543e-6</v>
      </c>
    </row>
    <row r="7" ht="17.25" spans="1:16">
      <c r="A7" s="8" t="s">
        <v>62</v>
      </c>
      <c r="B7">
        <v>2</v>
      </c>
      <c r="C7">
        <v>300</v>
      </c>
      <c r="D7">
        <v>1</v>
      </c>
      <c r="E7">
        <f t="shared" si="0"/>
        <v>0.25</v>
      </c>
      <c r="F7">
        <f t="shared" si="1"/>
        <v>0.00364963503649635</v>
      </c>
      <c r="G7">
        <f t="shared" si="2"/>
        <v>0.00731957253696384</v>
      </c>
      <c r="H7">
        <f t="shared" si="3"/>
        <v>1.09692075734602</v>
      </c>
      <c r="I7">
        <f t="shared" si="4"/>
        <v>27.4230189336505</v>
      </c>
      <c r="M7">
        <f t="shared" si="5"/>
        <v>-0.0204858690014163</v>
      </c>
      <c r="P7">
        <f t="shared" si="6"/>
        <v>1.33198358996217e-5</v>
      </c>
    </row>
    <row r="8" ht="17.25" spans="1:16">
      <c r="A8" s="8" t="s">
        <v>25</v>
      </c>
      <c r="B8">
        <v>20</v>
      </c>
      <c r="C8">
        <v>229.95</v>
      </c>
      <c r="D8">
        <v>3</v>
      </c>
      <c r="E8">
        <f t="shared" si="0"/>
        <v>0.75</v>
      </c>
      <c r="F8">
        <f t="shared" si="1"/>
        <v>0.0364963503649635</v>
      </c>
      <c r="G8">
        <f t="shared" si="2"/>
        <v>0.00561045234958278</v>
      </c>
      <c r="H8">
        <f t="shared" si="3"/>
        <v>4.21068027145463</v>
      </c>
      <c r="I8">
        <f t="shared" si="4"/>
        <v>315.801020359097</v>
      </c>
      <c r="M8">
        <f t="shared" si="5"/>
        <v>-0.12082273771511</v>
      </c>
      <c r="P8">
        <f t="shared" si="6"/>
        <v>0.00133198358996217</v>
      </c>
    </row>
    <row r="9" ht="17.25" spans="1:16">
      <c r="A9" s="8" t="s">
        <v>26</v>
      </c>
      <c r="B9">
        <v>9</v>
      </c>
      <c r="C9">
        <v>13.37</v>
      </c>
      <c r="D9">
        <v>2</v>
      </c>
      <c r="E9">
        <f t="shared" si="0"/>
        <v>0.5</v>
      </c>
      <c r="F9">
        <f t="shared" si="1"/>
        <v>0.0164233576642336</v>
      </c>
      <c r="G9">
        <f t="shared" si="2"/>
        <v>0.000326208949397355</v>
      </c>
      <c r="H9">
        <f t="shared" si="3"/>
        <v>1.67495666136309</v>
      </c>
      <c r="I9">
        <f t="shared" si="4"/>
        <v>83.7478330681546</v>
      </c>
      <c r="M9">
        <f t="shared" si="5"/>
        <v>-0.0674844094644273</v>
      </c>
      <c r="P9">
        <f t="shared" si="6"/>
        <v>0.00026972667696734</v>
      </c>
    </row>
    <row r="10" ht="17.25" spans="1:16">
      <c r="A10" s="8" t="s">
        <v>63</v>
      </c>
      <c r="B10">
        <v>1</v>
      </c>
      <c r="C10">
        <v>137.35</v>
      </c>
      <c r="D10">
        <v>1</v>
      </c>
      <c r="E10">
        <f t="shared" si="0"/>
        <v>0.25</v>
      </c>
      <c r="F10">
        <f t="shared" si="1"/>
        <v>0.00182481751824818</v>
      </c>
      <c r="G10">
        <f t="shared" si="2"/>
        <v>0.00335114429317328</v>
      </c>
      <c r="H10">
        <f t="shared" si="3"/>
        <v>0.517596181142145</v>
      </c>
      <c r="I10">
        <f t="shared" si="4"/>
        <v>12.9399045285536</v>
      </c>
      <c r="M10">
        <f t="shared" si="5"/>
        <v>-0.0115078016185183</v>
      </c>
      <c r="P10">
        <f t="shared" si="6"/>
        <v>3.32995897490543e-6</v>
      </c>
    </row>
    <row r="11" ht="17.25" spans="1:16">
      <c r="A11" s="8" t="s">
        <v>29</v>
      </c>
      <c r="B11">
        <v>2</v>
      </c>
      <c r="C11">
        <v>63.11</v>
      </c>
      <c r="D11">
        <v>1</v>
      </c>
      <c r="E11">
        <f t="shared" si="0"/>
        <v>0.25</v>
      </c>
      <c r="F11">
        <f t="shared" si="1"/>
        <v>0.00364963503649635</v>
      </c>
      <c r="G11">
        <f t="shared" si="2"/>
        <v>0.00153979407602596</v>
      </c>
      <c r="H11">
        <f t="shared" si="3"/>
        <v>0.518942911252231</v>
      </c>
      <c r="I11">
        <f t="shared" si="4"/>
        <v>12.9735727813058</v>
      </c>
      <c r="M11">
        <f t="shared" si="5"/>
        <v>-0.0204858690014163</v>
      </c>
      <c r="P11">
        <f t="shared" si="6"/>
        <v>1.33198358996217e-5</v>
      </c>
    </row>
    <row r="12" ht="17.25" spans="1:16">
      <c r="A12" s="8" t="s">
        <v>31</v>
      </c>
      <c r="B12">
        <v>90</v>
      </c>
      <c r="C12">
        <v>502.57</v>
      </c>
      <c r="D12">
        <v>3</v>
      </c>
      <c r="E12">
        <f t="shared" si="0"/>
        <v>0.75</v>
      </c>
      <c r="F12">
        <f t="shared" si="1"/>
        <v>0.164233576642336</v>
      </c>
      <c r="G12">
        <f t="shared" si="2"/>
        <v>0.0122619918996731</v>
      </c>
      <c r="H12">
        <f t="shared" si="3"/>
        <v>17.6495568542009</v>
      </c>
      <c r="I12">
        <f t="shared" si="4"/>
        <v>1323.71676406507</v>
      </c>
      <c r="J12" s="3" t="s">
        <v>32</v>
      </c>
      <c r="M12">
        <f t="shared" si="5"/>
        <v>-0.296682309298536</v>
      </c>
      <c r="P12">
        <f t="shared" si="6"/>
        <v>0.026972667696734</v>
      </c>
    </row>
    <row r="13" ht="17.25" spans="1:16">
      <c r="A13" s="8" t="s">
        <v>33</v>
      </c>
      <c r="B13">
        <v>221</v>
      </c>
      <c r="C13">
        <v>4678.21</v>
      </c>
      <c r="D13">
        <v>3</v>
      </c>
      <c r="E13">
        <f t="shared" si="0"/>
        <v>0.75</v>
      </c>
      <c r="F13">
        <f t="shared" si="1"/>
        <v>0.403284671532847</v>
      </c>
      <c r="G13">
        <f t="shared" si="2"/>
        <v>0.114141658127165</v>
      </c>
      <c r="H13">
        <f t="shared" si="3"/>
        <v>51.7426329660012</v>
      </c>
      <c r="I13">
        <f t="shared" si="4"/>
        <v>3880.69747245009</v>
      </c>
      <c r="J13" s="3" t="s">
        <v>32</v>
      </c>
      <c r="M13">
        <f t="shared" si="5"/>
        <v>-0.366227885730088</v>
      </c>
      <c r="P13">
        <f t="shared" si="6"/>
        <v>0.162638526293356</v>
      </c>
    </row>
    <row r="14" ht="17.25" spans="1:16">
      <c r="A14" s="8" t="s">
        <v>34</v>
      </c>
      <c r="B14">
        <v>1</v>
      </c>
      <c r="C14">
        <v>0.79</v>
      </c>
      <c r="D14">
        <v>1</v>
      </c>
      <c r="E14">
        <f t="shared" si="0"/>
        <v>0.25</v>
      </c>
      <c r="F14">
        <f t="shared" si="1"/>
        <v>0.00182481751824818</v>
      </c>
      <c r="G14">
        <f t="shared" si="2"/>
        <v>1.92748743473381e-5</v>
      </c>
      <c r="H14">
        <f t="shared" si="3"/>
        <v>0.184409239259551</v>
      </c>
      <c r="I14">
        <f t="shared" si="4"/>
        <v>4.61023098148878</v>
      </c>
      <c r="M14">
        <f t="shared" si="5"/>
        <v>-0.0115078016185183</v>
      </c>
      <c r="P14">
        <f t="shared" si="6"/>
        <v>3.32995897490543e-6</v>
      </c>
    </row>
    <row r="15" ht="17.25" spans="1:16">
      <c r="A15" s="8" t="s">
        <v>35</v>
      </c>
      <c r="B15">
        <v>42</v>
      </c>
      <c r="C15">
        <v>3484.62</v>
      </c>
      <c r="D15">
        <v>3</v>
      </c>
      <c r="E15">
        <f t="shared" si="0"/>
        <v>0.75</v>
      </c>
      <c r="F15">
        <f t="shared" si="1"/>
        <v>0.0766423357664234</v>
      </c>
      <c r="G15">
        <f t="shared" si="2"/>
        <v>0.0850197628458498</v>
      </c>
      <c r="H15">
        <f t="shared" si="3"/>
        <v>16.1662098612273</v>
      </c>
      <c r="I15">
        <f t="shared" si="4"/>
        <v>1212.46573959205</v>
      </c>
      <c r="J15" s="3" t="s">
        <v>32</v>
      </c>
      <c r="M15">
        <f t="shared" si="5"/>
        <v>-0.196863938109334</v>
      </c>
      <c r="P15">
        <f t="shared" si="6"/>
        <v>0.00587404763173318</v>
      </c>
    </row>
    <row r="16" ht="17.25" spans="1:16">
      <c r="A16" s="8" t="s">
        <v>37</v>
      </c>
      <c r="B16">
        <v>15</v>
      </c>
      <c r="C16">
        <v>3147.14</v>
      </c>
      <c r="D16">
        <v>3</v>
      </c>
      <c r="E16">
        <f t="shared" si="0"/>
        <v>0.75</v>
      </c>
      <c r="F16">
        <f t="shared" si="1"/>
        <v>0.0273722627737226</v>
      </c>
      <c r="G16">
        <f t="shared" si="2"/>
        <v>0.0767857317132679</v>
      </c>
      <c r="H16">
        <f t="shared" si="3"/>
        <v>10.4157994486991</v>
      </c>
      <c r="I16">
        <f t="shared" si="4"/>
        <v>781.184958652429</v>
      </c>
      <c r="M16">
        <f t="shared" si="5"/>
        <v>-0.098491562568772</v>
      </c>
      <c r="P16">
        <f t="shared" si="6"/>
        <v>0.000749240769353722</v>
      </c>
    </row>
    <row r="17" ht="17.25" spans="1:16">
      <c r="A17" s="8" t="s">
        <v>38</v>
      </c>
      <c r="B17">
        <v>24</v>
      </c>
      <c r="C17">
        <v>19363</v>
      </c>
      <c r="D17">
        <v>2</v>
      </c>
      <c r="E17">
        <f t="shared" si="0"/>
        <v>0.5</v>
      </c>
      <c r="F17">
        <f t="shared" si="1"/>
        <v>0.0437956204379562</v>
      </c>
      <c r="G17">
        <f t="shared" si="2"/>
        <v>0.47242961011077</v>
      </c>
      <c r="H17">
        <f t="shared" si="3"/>
        <v>51.6225230548726</v>
      </c>
      <c r="I17">
        <f t="shared" si="4"/>
        <v>2581.12615274363</v>
      </c>
      <c r="J17" s="3" t="s">
        <v>32</v>
      </c>
      <c r="M17">
        <f t="shared" si="5"/>
        <v>-0.137002399559127</v>
      </c>
      <c r="P17">
        <f t="shared" si="6"/>
        <v>0.00191805636954553</v>
      </c>
    </row>
    <row r="18" ht="17.25" spans="1:16">
      <c r="A18" s="8" t="s">
        <v>39</v>
      </c>
      <c r="B18">
        <v>3</v>
      </c>
      <c r="C18">
        <v>4439.62</v>
      </c>
      <c r="D18">
        <v>1</v>
      </c>
      <c r="E18">
        <f t="shared" si="0"/>
        <v>0.25</v>
      </c>
      <c r="F18">
        <f t="shared" si="1"/>
        <v>0.00547445255474453</v>
      </c>
      <c r="G18">
        <f t="shared" si="2"/>
        <v>0.108320402088518</v>
      </c>
      <c r="H18">
        <f t="shared" si="3"/>
        <v>11.3794854643263</v>
      </c>
      <c r="I18">
        <f t="shared" si="4"/>
        <v>284.487136608156</v>
      </c>
      <c r="M18">
        <f t="shared" si="5"/>
        <v>-0.028509104005182</v>
      </c>
      <c r="P18">
        <f t="shared" si="6"/>
        <v>2.99696307741489e-5</v>
      </c>
    </row>
    <row r="19" ht="17.25" spans="1:16">
      <c r="A19" s="8" t="s">
        <v>40</v>
      </c>
      <c r="B19">
        <v>11</v>
      </c>
      <c r="C19">
        <v>16</v>
      </c>
      <c r="D19">
        <v>3</v>
      </c>
      <c r="E19">
        <f t="shared" si="0"/>
        <v>0.75</v>
      </c>
      <c r="F19">
        <f t="shared" si="1"/>
        <v>0.0200729927007299</v>
      </c>
      <c r="G19">
        <f t="shared" si="2"/>
        <v>0.000390377201971405</v>
      </c>
      <c r="H19">
        <f t="shared" si="3"/>
        <v>2.04633699027013</v>
      </c>
      <c r="I19">
        <f t="shared" si="4"/>
        <v>153.47527427026</v>
      </c>
      <c r="M19">
        <f t="shared" si="5"/>
        <v>-0.0784528834957045</v>
      </c>
      <c r="P19">
        <f t="shared" si="6"/>
        <v>0.000402925035963557</v>
      </c>
    </row>
    <row r="20" ht="17.25" spans="1:16">
      <c r="A20" s="8" t="s">
        <v>41</v>
      </c>
      <c r="B20">
        <v>9</v>
      </c>
      <c r="C20">
        <v>24.73</v>
      </c>
      <c r="D20">
        <v>1</v>
      </c>
      <c r="E20">
        <f t="shared" si="0"/>
        <v>0.25</v>
      </c>
      <c r="F20">
        <f t="shared" si="1"/>
        <v>0.0164233576642336</v>
      </c>
      <c r="G20">
        <f t="shared" si="2"/>
        <v>0.000603376762797053</v>
      </c>
      <c r="H20">
        <f t="shared" si="3"/>
        <v>1.70267344270306</v>
      </c>
      <c r="I20">
        <f t="shared" si="4"/>
        <v>42.5668360675766</v>
      </c>
      <c r="M20">
        <f t="shared" si="5"/>
        <v>-0.0674844094644273</v>
      </c>
      <c r="P20">
        <f t="shared" si="6"/>
        <v>0.00026972667696734</v>
      </c>
    </row>
    <row r="21" ht="17.25" spans="1:16">
      <c r="A21" s="8" t="s">
        <v>44</v>
      </c>
      <c r="B21">
        <v>3</v>
      </c>
      <c r="C21">
        <v>3139</v>
      </c>
      <c r="D21">
        <v>1</v>
      </c>
      <c r="E21">
        <f t="shared" si="0"/>
        <v>0.25</v>
      </c>
      <c r="F21">
        <f t="shared" si="1"/>
        <v>0.00547445255474453</v>
      </c>
      <c r="G21">
        <f t="shared" si="2"/>
        <v>0.076587127311765</v>
      </c>
      <c r="H21">
        <f t="shared" si="3"/>
        <v>8.20615798665095</v>
      </c>
      <c r="I21">
        <f t="shared" si="4"/>
        <v>205.153949666274</v>
      </c>
      <c r="M21">
        <f t="shared" si="5"/>
        <v>-0.028509104005182</v>
      </c>
      <c r="P21">
        <f t="shared" si="6"/>
        <v>2.99696307741489e-5</v>
      </c>
    </row>
    <row r="22" ht="17.25" spans="1:16">
      <c r="A22" s="8" t="s">
        <v>61</v>
      </c>
      <c r="B22">
        <v>1</v>
      </c>
      <c r="C22">
        <v>0.71</v>
      </c>
      <c r="D22">
        <v>1</v>
      </c>
      <c r="E22">
        <f t="shared" si="0"/>
        <v>0.25</v>
      </c>
      <c r="F22">
        <f t="shared" si="1"/>
        <v>0.00182481751824818</v>
      </c>
      <c r="G22">
        <f t="shared" si="2"/>
        <v>1.73229883374811e-5</v>
      </c>
      <c r="H22">
        <f t="shared" si="3"/>
        <v>0.184214050658566</v>
      </c>
      <c r="I22">
        <f t="shared" si="4"/>
        <v>4.60535126646414</v>
      </c>
      <c r="M22">
        <f t="shared" si="5"/>
        <v>-0.0115078016185183</v>
      </c>
      <c r="P22">
        <f t="shared" si="6"/>
        <v>3.32995897490543e-6</v>
      </c>
    </row>
    <row r="23" ht="13" customHeight="1" spans="1:16">
      <c r="A23" s="8" t="s">
        <v>49</v>
      </c>
      <c r="B23">
        <v>1</v>
      </c>
      <c r="C23">
        <v>648.39</v>
      </c>
      <c r="D23">
        <v>1</v>
      </c>
      <c r="E23">
        <f t="shared" si="0"/>
        <v>0.25</v>
      </c>
      <c r="F23">
        <f t="shared" si="1"/>
        <v>0.00182481751824818</v>
      </c>
      <c r="G23">
        <f t="shared" si="2"/>
        <v>0.01581979212414</v>
      </c>
      <c r="H23">
        <f t="shared" si="3"/>
        <v>1.76446096423881</v>
      </c>
      <c r="I23">
        <f t="shared" si="4"/>
        <v>44.1115241059703</v>
      </c>
      <c r="M23">
        <f t="shared" si="5"/>
        <v>-0.0115078016185183</v>
      </c>
      <c r="P23">
        <f t="shared" si="6"/>
        <v>3.32995897490543e-6</v>
      </c>
    </row>
    <row r="24" ht="17.25" spans="1:16">
      <c r="A24" s="8" t="s">
        <v>53</v>
      </c>
      <c r="B24">
        <v>43</v>
      </c>
      <c r="C24">
        <v>177.25</v>
      </c>
      <c r="D24">
        <v>3</v>
      </c>
      <c r="E24">
        <f t="shared" si="0"/>
        <v>0.75</v>
      </c>
      <c r="F24">
        <f t="shared" si="1"/>
        <v>0.0784671532846715</v>
      </c>
      <c r="G24">
        <f t="shared" si="2"/>
        <v>0.00432464744058947</v>
      </c>
      <c r="H24">
        <f t="shared" si="3"/>
        <v>8.2791800725261</v>
      </c>
      <c r="I24">
        <f t="shared" si="4"/>
        <v>620.938505439458</v>
      </c>
      <c r="M24">
        <f t="shared" si="5"/>
        <v>-0.199704803583835</v>
      </c>
      <c r="P24">
        <f t="shared" si="6"/>
        <v>0.00615709414460014</v>
      </c>
    </row>
    <row r="25" ht="17.25" spans="1:16">
      <c r="A25" s="8" t="s">
        <v>56</v>
      </c>
      <c r="B25">
        <v>2</v>
      </c>
      <c r="C25">
        <v>1.36</v>
      </c>
      <c r="D25">
        <v>1</v>
      </c>
      <c r="E25">
        <f t="shared" si="0"/>
        <v>0.25</v>
      </c>
      <c r="F25">
        <f t="shared" si="1"/>
        <v>0.00364963503649635</v>
      </c>
      <c r="G25">
        <f t="shared" si="2"/>
        <v>3.31820621675694e-5</v>
      </c>
      <c r="H25">
        <f t="shared" si="3"/>
        <v>0.368281709866392</v>
      </c>
      <c r="I25">
        <f t="shared" si="4"/>
        <v>9.2070427466598</v>
      </c>
      <c r="M25">
        <f t="shared" si="5"/>
        <v>-0.0204858690014163</v>
      </c>
      <c r="P25">
        <f t="shared" si="6"/>
        <v>1.33198358996217e-5</v>
      </c>
    </row>
    <row r="26" ht="17.25" spans="1:16">
      <c r="A26" s="8" t="s">
        <v>57</v>
      </c>
      <c r="B26">
        <v>2</v>
      </c>
      <c r="C26">
        <v>2.14</v>
      </c>
      <c r="D26">
        <v>1</v>
      </c>
      <c r="E26">
        <f t="shared" si="0"/>
        <v>0.25</v>
      </c>
      <c r="F26">
        <f t="shared" si="1"/>
        <v>0.00364963503649635</v>
      </c>
      <c r="G26">
        <f t="shared" si="2"/>
        <v>5.22129507636754e-5</v>
      </c>
      <c r="H26">
        <f t="shared" si="3"/>
        <v>0.370184798726003</v>
      </c>
      <c r="I26">
        <f t="shared" si="4"/>
        <v>9.25461996815006</v>
      </c>
      <c r="M26">
        <f t="shared" si="5"/>
        <v>-0.0204858690014163</v>
      </c>
      <c r="P26">
        <f t="shared" si="6"/>
        <v>1.33198358996217e-5</v>
      </c>
    </row>
    <row r="27" spans="13:16">
      <c r="M27" s="6">
        <v>2.104</v>
      </c>
      <c r="N27">
        <f>24/LN(548)</f>
        <v>3.80573300529274</v>
      </c>
      <c r="O27">
        <f>2.104/LN(25)</f>
        <v>0.653644351156712</v>
      </c>
      <c r="P27">
        <f>1-0.2102</f>
        <v>0.7898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opLeftCell="A7" workbookViewId="0">
      <selection activeCell="A2" sqref="A2:A32"/>
    </sheetView>
  </sheetViews>
  <sheetFormatPr defaultColWidth="8.89166666666667" defaultRowHeight="13.5"/>
  <cols>
    <col min="6" max="9" width="12.8916666666667"/>
    <col min="13" max="13" width="14.1083333333333"/>
    <col min="14" max="16" width="12.8916666666667"/>
  </cols>
  <sheetData>
    <row r="1" ht="17.25" spans="1:16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3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ht="17.25" spans="1:16">
      <c r="A2" s="8" t="s">
        <v>15</v>
      </c>
      <c r="B2">
        <v>52</v>
      </c>
      <c r="C2">
        <v>98.5</v>
      </c>
      <c r="D2">
        <v>4</v>
      </c>
      <c r="E2">
        <f t="shared" ref="E2:E26" si="0">D2/4</f>
        <v>1</v>
      </c>
      <c r="F2">
        <f t="shared" ref="F2:F26" si="1">B2/4619</f>
        <v>0.0112578480190517</v>
      </c>
      <c r="G2">
        <f t="shared" ref="G2:G26" si="2">C2/160445</f>
        <v>0.000613917541836766</v>
      </c>
      <c r="H2">
        <f t="shared" ref="H2:H26" si="3">(F2+G2)*100</f>
        <v>1.18717655608885</v>
      </c>
      <c r="I2">
        <f t="shared" ref="I2:I26" si="4">H2*E2*100</f>
        <v>118.717655608885</v>
      </c>
      <c r="K2">
        <v>160445</v>
      </c>
      <c r="L2">
        <v>4619</v>
      </c>
      <c r="M2">
        <f>F2*LN(F2)</f>
        <v>-0.0505104717852689</v>
      </c>
      <c r="P2">
        <f>F2*F2</f>
        <v>0.000126739142020067</v>
      </c>
    </row>
    <row r="3" ht="17.25" spans="1:16">
      <c r="A3" s="8" t="s">
        <v>17</v>
      </c>
      <c r="B3">
        <v>1</v>
      </c>
      <c r="C3">
        <v>0.28</v>
      </c>
      <c r="D3">
        <v>1</v>
      </c>
      <c r="E3">
        <f t="shared" si="0"/>
        <v>0.25</v>
      </c>
      <c r="F3">
        <f t="shared" si="1"/>
        <v>0.000216497077289457</v>
      </c>
      <c r="G3">
        <f t="shared" si="2"/>
        <v>1.74514631182025e-6</v>
      </c>
      <c r="H3">
        <f t="shared" si="3"/>
        <v>0.0218242223601277</v>
      </c>
      <c r="I3">
        <f t="shared" si="4"/>
        <v>0.545605559003192</v>
      </c>
      <c r="M3">
        <f t="shared" ref="M3:M32" si="5">F3*LN(F3)</f>
        <v>-0.00182678794337099</v>
      </c>
      <c r="P3">
        <f t="shared" ref="P3:P32" si="6">F3*F3</f>
        <v>4.68709844748769e-8</v>
      </c>
    </row>
    <row r="4" ht="17.25" spans="1:16">
      <c r="A4" s="8" t="s">
        <v>19</v>
      </c>
      <c r="B4">
        <v>1</v>
      </c>
      <c r="C4">
        <v>2.4</v>
      </c>
      <c r="D4">
        <v>1</v>
      </c>
      <c r="E4">
        <f t="shared" si="0"/>
        <v>0.25</v>
      </c>
      <c r="F4">
        <f t="shared" si="1"/>
        <v>0.000216497077289457</v>
      </c>
      <c r="G4">
        <f t="shared" si="2"/>
        <v>1.49583969584593e-5</v>
      </c>
      <c r="H4">
        <f t="shared" si="3"/>
        <v>0.0231455474247916</v>
      </c>
      <c r="I4">
        <f t="shared" si="4"/>
        <v>0.57863868561979</v>
      </c>
      <c r="M4">
        <f t="shared" si="5"/>
        <v>-0.00182678794337099</v>
      </c>
      <c r="P4">
        <f t="shared" si="6"/>
        <v>4.68709844748769e-8</v>
      </c>
    </row>
    <row r="5" ht="17.25" spans="1:16">
      <c r="A5" s="8" t="s">
        <v>20</v>
      </c>
      <c r="B5">
        <v>180</v>
      </c>
      <c r="C5">
        <v>3039.37</v>
      </c>
      <c r="D5">
        <v>4</v>
      </c>
      <c r="E5">
        <f t="shared" si="0"/>
        <v>1</v>
      </c>
      <c r="F5">
        <f t="shared" si="1"/>
        <v>0.0389694739121022</v>
      </c>
      <c r="G5">
        <f t="shared" si="2"/>
        <v>0.0189433762348468</v>
      </c>
      <c r="H5">
        <f t="shared" si="3"/>
        <v>5.7912850146949</v>
      </c>
      <c r="I5">
        <f t="shared" si="4"/>
        <v>579.12850146949</v>
      </c>
      <c r="M5">
        <f t="shared" si="5"/>
        <v>-0.12645503327934</v>
      </c>
      <c r="P5">
        <f t="shared" si="6"/>
        <v>0.00151861989698601</v>
      </c>
    </row>
    <row r="6" ht="17.25" spans="1:16">
      <c r="A6" s="8" t="s">
        <v>21</v>
      </c>
      <c r="B6">
        <v>5</v>
      </c>
      <c r="C6">
        <v>2747</v>
      </c>
      <c r="D6">
        <v>2</v>
      </c>
      <c r="E6">
        <f t="shared" si="0"/>
        <v>0.5</v>
      </c>
      <c r="F6">
        <f t="shared" si="1"/>
        <v>0.00108248538644728</v>
      </c>
      <c r="G6">
        <f t="shared" si="2"/>
        <v>0.0171211318520365</v>
      </c>
      <c r="H6">
        <f t="shared" si="3"/>
        <v>1.82036172384838</v>
      </c>
      <c r="I6">
        <f t="shared" si="4"/>
        <v>91.018086192419</v>
      </c>
      <c r="M6">
        <f t="shared" si="5"/>
        <v>-0.00739174669625082</v>
      </c>
      <c r="P6">
        <f t="shared" si="6"/>
        <v>1.17177461187192e-6</v>
      </c>
    </row>
    <row r="7" ht="17.25" spans="1:16">
      <c r="A7" s="8" t="s">
        <v>22</v>
      </c>
      <c r="B7">
        <v>11</v>
      </c>
      <c r="C7">
        <v>74.49</v>
      </c>
      <c r="D7">
        <v>2</v>
      </c>
      <c r="E7">
        <f t="shared" si="0"/>
        <v>0.5</v>
      </c>
      <c r="F7">
        <f t="shared" si="1"/>
        <v>0.00238146785018402</v>
      </c>
      <c r="G7">
        <f t="shared" si="2"/>
        <v>0.00046427124559818</v>
      </c>
      <c r="H7">
        <f t="shared" si="3"/>
        <v>0.28457390957822</v>
      </c>
      <c r="I7">
        <f t="shared" si="4"/>
        <v>14.228695478911</v>
      </c>
      <c r="M7">
        <f t="shared" si="5"/>
        <v>-0.0143841568768033</v>
      </c>
      <c r="P7">
        <f t="shared" si="6"/>
        <v>5.67138912146011e-6</v>
      </c>
    </row>
    <row r="8" ht="17.25" spans="1:16">
      <c r="A8" s="8" t="s">
        <v>23</v>
      </c>
      <c r="B8">
        <v>1</v>
      </c>
      <c r="C8">
        <v>321.08</v>
      </c>
      <c r="D8">
        <v>1</v>
      </c>
      <c r="E8">
        <f t="shared" si="0"/>
        <v>0.25</v>
      </c>
      <c r="F8">
        <f t="shared" si="1"/>
        <v>0.000216497077289457</v>
      </c>
      <c r="G8">
        <f t="shared" si="2"/>
        <v>0.00200118420642588</v>
      </c>
      <c r="H8">
        <f t="shared" si="3"/>
        <v>0.221768128371533</v>
      </c>
      <c r="I8">
        <f t="shared" si="4"/>
        <v>5.54420320928834</v>
      </c>
      <c r="M8">
        <f t="shared" si="5"/>
        <v>-0.00182678794337099</v>
      </c>
      <c r="P8">
        <f t="shared" si="6"/>
        <v>4.68709844748769e-8</v>
      </c>
    </row>
    <row r="9" ht="17.25" spans="1:16">
      <c r="A9" s="8" t="s">
        <v>26</v>
      </c>
      <c r="B9">
        <v>43</v>
      </c>
      <c r="C9">
        <v>58.56</v>
      </c>
      <c r="D9">
        <v>3</v>
      </c>
      <c r="E9">
        <f t="shared" si="0"/>
        <v>0.75</v>
      </c>
      <c r="F9">
        <f t="shared" si="1"/>
        <v>0.00930937432344663</v>
      </c>
      <c r="G9">
        <f t="shared" si="2"/>
        <v>0.000364984885786407</v>
      </c>
      <c r="H9">
        <f t="shared" si="3"/>
        <v>0.967435920923304</v>
      </c>
      <c r="I9">
        <f t="shared" si="4"/>
        <v>72.5576940692478</v>
      </c>
      <c r="M9">
        <f t="shared" si="5"/>
        <v>-0.0435374617825704</v>
      </c>
      <c r="P9">
        <f t="shared" si="6"/>
        <v>8.66644502940474e-5</v>
      </c>
    </row>
    <row r="10" ht="17.25" spans="1:16">
      <c r="A10" s="8" t="s">
        <v>27</v>
      </c>
      <c r="B10">
        <v>1</v>
      </c>
      <c r="C10">
        <v>112.93</v>
      </c>
      <c r="D10">
        <v>1</v>
      </c>
      <c r="E10">
        <f t="shared" si="0"/>
        <v>0.25</v>
      </c>
      <c r="F10">
        <f t="shared" si="1"/>
        <v>0.000216497077289457</v>
      </c>
      <c r="G10">
        <f t="shared" si="2"/>
        <v>0.000703854903549503</v>
      </c>
      <c r="H10">
        <f t="shared" si="3"/>
        <v>0.092035198083896</v>
      </c>
      <c r="I10">
        <f t="shared" si="4"/>
        <v>2.3008799520974</v>
      </c>
      <c r="M10">
        <f t="shared" si="5"/>
        <v>-0.00182678794337099</v>
      </c>
      <c r="P10">
        <f t="shared" si="6"/>
        <v>4.68709844748769e-8</v>
      </c>
    </row>
    <row r="11" ht="17.25" spans="1:16">
      <c r="A11" s="8" t="s">
        <v>63</v>
      </c>
      <c r="B11">
        <v>52</v>
      </c>
      <c r="C11">
        <v>2944.28</v>
      </c>
      <c r="D11">
        <v>4</v>
      </c>
      <c r="E11">
        <f t="shared" si="0"/>
        <v>1</v>
      </c>
      <c r="F11">
        <f t="shared" si="1"/>
        <v>0.0112578480190517</v>
      </c>
      <c r="G11">
        <f t="shared" si="2"/>
        <v>0.0183507120820219</v>
      </c>
      <c r="H11">
        <f t="shared" si="3"/>
        <v>2.96085601010736</v>
      </c>
      <c r="I11">
        <f t="shared" si="4"/>
        <v>296.085601010736</v>
      </c>
      <c r="M11">
        <f t="shared" si="5"/>
        <v>-0.0505104717852689</v>
      </c>
      <c r="P11">
        <f t="shared" si="6"/>
        <v>0.000126739142020067</v>
      </c>
    </row>
    <row r="12" ht="17.25" spans="1:16">
      <c r="A12" s="8" t="s">
        <v>29</v>
      </c>
      <c r="B12">
        <v>76</v>
      </c>
      <c r="C12">
        <v>2944.64</v>
      </c>
      <c r="D12">
        <v>4</v>
      </c>
      <c r="E12">
        <f t="shared" si="0"/>
        <v>1</v>
      </c>
      <c r="F12">
        <f t="shared" si="1"/>
        <v>0.0164537778739987</v>
      </c>
      <c r="G12">
        <f t="shared" si="2"/>
        <v>0.0183529558415656</v>
      </c>
      <c r="H12">
        <f t="shared" si="3"/>
        <v>3.48067337155643</v>
      </c>
      <c r="I12">
        <f t="shared" si="4"/>
        <v>348.067337155643</v>
      </c>
      <c r="M12">
        <f t="shared" si="5"/>
        <v>-0.0675789592836036</v>
      </c>
      <c r="P12">
        <f t="shared" si="6"/>
        <v>0.000270726806326889</v>
      </c>
    </row>
    <row r="13" ht="17.25" spans="1:16">
      <c r="A13" s="8" t="s">
        <v>31</v>
      </c>
      <c r="B13">
        <v>48</v>
      </c>
      <c r="C13">
        <v>360.98</v>
      </c>
      <c r="D13">
        <v>4</v>
      </c>
      <c r="E13">
        <f t="shared" si="0"/>
        <v>1</v>
      </c>
      <c r="F13">
        <f t="shared" si="1"/>
        <v>0.0103918597098939</v>
      </c>
      <c r="G13">
        <f t="shared" si="2"/>
        <v>0.00224986755586026</v>
      </c>
      <c r="H13">
        <f t="shared" si="3"/>
        <v>1.26417272657542</v>
      </c>
      <c r="I13">
        <f t="shared" si="4"/>
        <v>126.417272657542</v>
      </c>
      <c r="M13">
        <f t="shared" si="5"/>
        <v>-0.0474568434676532</v>
      </c>
      <c r="P13">
        <f t="shared" si="6"/>
        <v>0.000107990748230116</v>
      </c>
    </row>
    <row r="14" s="7" customFormat="1" ht="17.25" spans="1:16">
      <c r="A14" s="8" t="s">
        <v>33</v>
      </c>
      <c r="B14" s="7">
        <v>144</v>
      </c>
      <c r="C14" s="7">
        <v>17438</v>
      </c>
      <c r="D14" s="7">
        <v>4</v>
      </c>
      <c r="E14" s="7">
        <f t="shared" si="0"/>
        <v>1</v>
      </c>
      <c r="F14" s="7">
        <f t="shared" si="1"/>
        <v>0.0311755791296817</v>
      </c>
      <c r="G14" s="7">
        <f t="shared" si="2"/>
        <v>0.108685219234005</v>
      </c>
      <c r="H14" s="7">
        <f t="shared" si="3"/>
        <v>13.9860798363687</v>
      </c>
      <c r="I14" s="7">
        <f t="shared" si="4"/>
        <v>1398.60798363687</v>
      </c>
      <c r="J14" s="3" t="s">
        <v>32</v>
      </c>
      <c r="M14">
        <f t="shared" si="5"/>
        <v>-0.108120656064746</v>
      </c>
      <c r="P14">
        <f t="shared" si="6"/>
        <v>0.000971916734071048</v>
      </c>
    </row>
    <row r="15" ht="17.25" spans="1:16">
      <c r="A15" s="8" t="s">
        <v>34</v>
      </c>
      <c r="B15">
        <v>7</v>
      </c>
      <c r="C15">
        <v>4.15</v>
      </c>
      <c r="D15">
        <v>2</v>
      </c>
      <c r="E15">
        <f t="shared" si="0"/>
        <v>0.5</v>
      </c>
      <c r="F15">
        <f t="shared" si="1"/>
        <v>0.0015154795410262</v>
      </c>
      <c r="G15">
        <f t="shared" si="2"/>
        <v>2.58655614073358e-5</v>
      </c>
      <c r="H15">
        <f t="shared" si="3"/>
        <v>0.154134510243353</v>
      </c>
      <c r="I15">
        <f t="shared" si="4"/>
        <v>7.70672551216766</v>
      </c>
      <c r="M15">
        <f t="shared" si="5"/>
        <v>-0.00983852858402837</v>
      </c>
      <c r="P15">
        <f t="shared" si="6"/>
        <v>2.29667823926897e-6</v>
      </c>
    </row>
    <row r="16" s="7" customFormat="1" ht="17.25" spans="1:16">
      <c r="A16" s="8" t="s">
        <v>35</v>
      </c>
      <c r="B16" s="7">
        <v>632</v>
      </c>
      <c r="C16" s="7">
        <v>22831</v>
      </c>
      <c r="D16" s="7">
        <v>4</v>
      </c>
      <c r="E16" s="7">
        <f t="shared" si="0"/>
        <v>1</v>
      </c>
      <c r="F16" s="7">
        <f t="shared" si="1"/>
        <v>0.136826152846937</v>
      </c>
      <c r="G16" s="7">
        <f t="shared" si="2"/>
        <v>0.142297983732743</v>
      </c>
      <c r="H16" s="7">
        <f t="shared" si="3"/>
        <v>27.912413657968</v>
      </c>
      <c r="I16" s="7">
        <f t="shared" si="4"/>
        <v>2791.2413657968</v>
      </c>
      <c r="J16" s="3" t="s">
        <v>32</v>
      </c>
      <c r="M16">
        <f t="shared" si="5"/>
        <v>-0.27215325427394</v>
      </c>
      <c r="P16">
        <f t="shared" si="6"/>
        <v>0.0187213961028932</v>
      </c>
    </row>
    <row r="17" ht="17.25" spans="1:16">
      <c r="A17" s="8" t="s">
        <v>36</v>
      </c>
      <c r="B17">
        <v>2</v>
      </c>
      <c r="C17">
        <v>1328.01</v>
      </c>
      <c r="D17">
        <v>2</v>
      </c>
      <c r="E17">
        <f t="shared" si="0"/>
        <v>0.5</v>
      </c>
      <c r="F17">
        <f t="shared" si="1"/>
        <v>0.000432994154578913</v>
      </c>
      <c r="G17">
        <f t="shared" si="2"/>
        <v>0.00827704197700146</v>
      </c>
      <c r="H17">
        <f t="shared" si="3"/>
        <v>0.871003613158038</v>
      </c>
      <c r="I17">
        <f t="shared" si="4"/>
        <v>43.5501806579019</v>
      </c>
      <c r="M17">
        <f t="shared" si="5"/>
        <v>-0.00335344720929667</v>
      </c>
      <c r="P17">
        <f t="shared" si="6"/>
        <v>1.87483937899508e-7</v>
      </c>
    </row>
    <row r="18" ht="17.25" spans="1:16">
      <c r="A18" s="8" t="s">
        <v>37</v>
      </c>
      <c r="B18">
        <v>16</v>
      </c>
      <c r="C18">
        <v>8070</v>
      </c>
      <c r="D18">
        <v>4</v>
      </c>
      <c r="E18">
        <f t="shared" si="0"/>
        <v>1</v>
      </c>
      <c r="F18">
        <f t="shared" si="1"/>
        <v>0.00346395323663131</v>
      </c>
      <c r="G18">
        <f t="shared" si="2"/>
        <v>0.0502976097728193</v>
      </c>
      <c r="H18">
        <f t="shared" si="3"/>
        <v>5.37615630094506</v>
      </c>
      <c r="I18">
        <f t="shared" si="4"/>
        <v>537.615630094506</v>
      </c>
      <c r="M18">
        <f t="shared" si="5"/>
        <v>-0.0196244894156859</v>
      </c>
      <c r="P18">
        <f t="shared" si="6"/>
        <v>1.19989720255685e-5</v>
      </c>
    </row>
    <row r="19" s="7" customFormat="1" ht="17.25" spans="1:16">
      <c r="A19" s="8" t="s">
        <v>38</v>
      </c>
      <c r="B19" s="7">
        <v>70</v>
      </c>
      <c r="C19" s="7">
        <v>51394</v>
      </c>
      <c r="D19" s="7">
        <v>4</v>
      </c>
      <c r="E19" s="7">
        <f t="shared" si="0"/>
        <v>1</v>
      </c>
      <c r="F19" s="7">
        <f t="shared" si="1"/>
        <v>0.015154795410262</v>
      </c>
      <c r="G19" s="7">
        <f t="shared" si="2"/>
        <v>0.320321605534607</v>
      </c>
      <c r="H19" s="7">
        <f t="shared" si="3"/>
        <v>33.5476400944869</v>
      </c>
      <c r="I19" s="7">
        <f t="shared" si="4"/>
        <v>3354.76400944869</v>
      </c>
      <c r="J19" s="3" t="s">
        <v>32</v>
      </c>
      <c r="M19">
        <f t="shared" si="5"/>
        <v>-0.0634900798412399</v>
      </c>
      <c r="P19">
        <f t="shared" si="6"/>
        <v>0.000229667823926897</v>
      </c>
    </row>
    <row r="20" ht="17.25" spans="1:16">
      <c r="A20" s="8" t="s">
        <v>39</v>
      </c>
      <c r="B20">
        <v>22</v>
      </c>
      <c r="C20">
        <v>17990</v>
      </c>
      <c r="D20">
        <v>3</v>
      </c>
      <c r="E20">
        <f t="shared" si="0"/>
        <v>0.75</v>
      </c>
      <c r="F20">
        <f t="shared" si="1"/>
        <v>0.00476293570036805</v>
      </c>
      <c r="G20">
        <f t="shared" si="2"/>
        <v>0.112125650534451</v>
      </c>
      <c r="H20">
        <f t="shared" si="3"/>
        <v>11.6888586234819</v>
      </c>
      <c r="I20">
        <f t="shared" si="4"/>
        <v>876.664396761143</v>
      </c>
      <c r="M20">
        <f t="shared" si="5"/>
        <v>-0.0254668983017082</v>
      </c>
      <c r="P20">
        <f t="shared" si="6"/>
        <v>2.26855564858404e-5</v>
      </c>
    </row>
    <row r="21" s="7" customFormat="1" ht="17.25" spans="1:16">
      <c r="A21" s="8" t="s">
        <v>40</v>
      </c>
      <c r="B21" s="7">
        <v>509</v>
      </c>
      <c r="C21" s="7">
        <v>1008</v>
      </c>
      <c r="D21" s="7">
        <v>4</v>
      </c>
      <c r="E21" s="7">
        <f t="shared" si="0"/>
        <v>1</v>
      </c>
      <c r="F21" s="7">
        <f t="shared" si="1"/>
        <v>0.110197012340333</v>
      </c>
      <c r="G21" s="7">
        <f t="shared" si="2"/>
        <v>0.0062825267225529</v>
      </c>
      <c r="H21" s="7">
        <f t="shared" si="3"/>
        <v>11.6479539062886</v>
      </c>
      <c r="I21" s="7">
        <f t="shared" si="4"/>
        <v>1164.79539062886</v>
      </c>
      <c r="J21" s="3" t="s">
        <v>32</v>
      </c>
      <c r="M21">
        <f t="shared" si="5"/>
        <v>-0.24303791218553</v>
      </c>
      <c r="P21">
        <f t="shared" si="6"/>
        <v>0.0121433815287356</v>
      </c>
    </row>
    <row r="22" ht="17.25" spans="1:16">
      <c r="A22" s="8" t="s">
        <v>41</v>
      </c>
      <c r="B22">
        <v>1</v>
      </c>
      <c r="C22">
        <v>3.9</v>
      </c>
      <c r="D22">
        <v>1</v>
      </c>
      <c r="E22">
        <f t="shared" si="0"/>
        <v>0.25</v>
      </c>
      <c r="F22">
        <f t="shared" si="1"/>
        <v>0.000216497077289457</v>
      </c>
      <c r="G22">
        <f t="shared" si="2"/>
        <v>2.43073950574963e-5</v>
      </c>
      <c r="H22">
        <f t="shared" si="3"/>
        <v>0.0240804472346953</v>
      </c>
      <c r="I22">
        <f t="shared" si="4"/>
        <v>0.602011180867382</v>
      </c>
      <c r="M22">
        <f t="shared" si="5"/>
        <v>-0.00182678794337099</v>
      </c>
      <c r="P22">
        <f t="shared" si="6"/>
        <v>4.68709844748769e-8</v>
      </c>
    </row>
    <row r="23" ht="17.25" spans="1:16">
      <c r="A23" s="8" t="s">
        <v>44</v>
      </c>
      <c r="B23">
        <v>17</v>
      </c>
      <c r="C23">
        <v>14254</v>
      </c>
      <c r="D23">
        <v>1</v>
      </c>
      <c r="E23">
        <f t="shared" si="0"/>
        <v>0.25</v>
      </c>
      <c r="F23">
        <f t="shared" si="1"/>
        <v>0.00368045031392076</v>
      </c>
      <c r="G23">
        <f t="shared" si="2"/>
        <v>0.0888404126024494</v>
      </c>
      <c r="H23">
        <f t="shared" si="3"/>
        <v>9.25208629163702</v>
      </c>
      <c r="I23">
        <f t="shared" si="4"/>
        <v>231.302157290926</v>
      </c>
      <c r="M23">
        <f t="shared" si="5"/>
        <v>-0.0206278940957706</v>
      </c>
      <c r="P23">
        <f t="shared" si="6"/>
        <v>1.35457145132394e-5</v>
      </c>
    </row>
    <row r="24" ht="17.25" spans="1:16">
      <c r="A24" s="8" t="s">
        <v>45</v>
      </c>
      <c r="B24">
        <v>1</v>
      </c>
      <c r="C24">
        <v>0.321</v>
      </c>
      <c r="D24">
        <v>1</v>
      </c>
      <c r="E24">
        <f t="shared" si="0"/>
        <v>0.25</v>
      </c>
      <c r="F24">
        <f t="shared" si="1"/>
        <v>0.000216497077289457</v>
      </c>
      <c r="G24">
        <f t="shared" si="2"/>
        <v>2.00068559319393e-6</v>
      </c>
      <c r="H24">
        <f t="shared" si="3"/>
        <v>0.0218497762882651</v>
      </c>
      <c r="I24">
        <f t="shared" si="4"/>
        <v>0.546244407206626</v>
      </c>
      <c r="M24">
        <f t="shared" si="5"/>
        <v>-0.00182678794337099</v>
      </c>
      <c r="P24">
        <f t="shared" si="6"/>
        <v>4.68709844748769e-8</v>
      </c>
    </row>
    <row r="25" ht="17.25" spans="1:16">
      <c r="A25" s="8" t="s">
        <v>64</v>
      </c>
      <c r="B25">
        <v>1</v>
      </c>
      <c r="C25">
        <v>287.91</v>
      </c>
      <c r="D25">
        <v>1</v>
      </c>
      <c r="E25">
        <f t="shared" si="0"/>
        <v>0.25</v>
      </c>
      <c r="F25">
        <f t="shared" si="1"/>
        <v>0.000216497077289457</v>
      </c>
      <c r="G25">
        <f t="shared" si="2"/>
        <v>0.00179444669512917</v>
      </c>
      <c r="H25">
        <f t="shared" si="3"/>
        <v>0.201094377241863</v>
      </c>
      <c r="I25">
        <f t="shared" si="4"/>
        <v>5.02735943104657</v>
      </c>
      <c r="M25">
        <f t="shared" si="5"/>
        <v>-0.00182678794337099</v>
      </c>
      <c r="P25">
        <f t="shared" si="6"/>
        <v>4.68709844748769e-8</v>
      </c>
    </row>
    <row r="26" ht="17.25" spans="1:16">
      <c r="A26" s="8" t="s">
        <v>50</v>
      </c>
      <c r="B26">
        <v>16</v>
      </c>
      <c r="C26">
        <v>5982.23</v>
      </c>
      <c r="D26">
        <v>3</v>
      </c>
      <c r="E26">
        <f t="shared" si="0"/>
        <v>0.75</v>
      </c>
      <c r="F26">
        <f t="shared" si="1"/>
        <v>0.00346395323663131</v>
      </c>
      <c r="G26">
        <f t="shared" si="2"/>
        <v>0.0372852379320016</v>
      </c>
      <c r="H26">
        <f t="shared" si="3"/>
        <v>4.07491911686329</v>
      </c>
      <c r="I26">
        <f t="shared" si="4"/>
        <v>305.618933764747</v>
      </c>
      <c r="M26">
        <f t="shared" si="5"/>
        <v>-0.0196244894156859</v>
      </c>
      <c r="P26">
        <f t="shared" si="6"/>
        <v>1.19989720255685e-5</v>
      </c>
    </row>
    <row r="27" ht="17.25" spans="1:16">
      <c r="A27" s="8" t="s">
        <v>52</v>
      </c>
      <c r="B27">
        <v>1</v>
      </c>
      <c r="C27">
        <v>320.76</v>
      </c>
      <c r="D27">
        <v>1</v>
      </c>
      <c r="E27">
        <f t="shared" ref="E27:E32" si="7">D27/4</f>
        <v>0.25</v>
      </c>
      <c r="F27">
        <f t="shared" ref="F27:F32" si="8">B27/4619</f>
        <v>0.000216497077289457</v>
      </c>
      <c r="G27">
        <f t="shared" ref="G27:G32" si="9">C27/160445</f>
        <v>0.00199918975349808</v>
      </c>
      <c r="H27">
        <f t="shared" ref="H27:H32" si="10">(F27+G27)*100</f>
        <v>0.221568683078754</v>
      </c>
      <c r="I27">
        <f t="shared" ref="I27:I32" si="11">H27*E27*100</f>
        <v>5.53921707696885</v>
      </c>
      <c r="M27">
        <f t="shared" si="5"/>
        <v>-0.00182678794337099</v>
      </c>
      <c r="P27">
        <f t="shared" si="6"/>
        <v>4.68709844748769e-8</v>
      </c>
    </row>
    <row r="28" s="9" customFormat="1" ht="17.25" spans="1:16">
      <c r="A28" s="8" t="s">
        <v>53</v>
      </c>
      <c r="B28" s="9">
        <v>1887</v>
      </c>
      <c r="C28" s="9">
        <v>497.43</v>
      </c>
      <c r="D28" s="9">
        <v>4</v>
      </c>
      <c r="E28" s="9">
        <f t="shared" si="7"/>
        <v>1</v>
      </c>
      <c r="F28" s="9">
        <f t="shared" si="8"/>
        <v>0.408529984845205</v>
      </c>
      <c r="G28" s="9">
        <f t="shared" si="9"/>
        <v>0.00310031474960267</v>
      </c>
      <c r="H28" s="9">
        <f t="shared" si="10"/>
        <v>41.1630299594807</v>
      </c>
      <c r="I28" s="9">
        <f t="shared" si="11"/>
        <v>4116.30299594807</v>
      </c>
      <c r="J28" s="3" t="s">
        <v>32</v>
      </c>
      <c r="M28">
        <f t="shared" si="5"/>
        <v>-0.365711942860381</v>
      </c>
      <c r="P28">
        <f t="shared" si="6"/>
        <v>0.166896748517623</v>
      </c>
    </row>
    <row r="29" ht="17.25" spans="1:16">
      <c r="A29" s="8" t="s">
        <v>55</v>
      </c>
      <c r="B29">
        <v>5</v>
      </c>
      <c r="C29">
        <v>5999.89</v>
      </c>
      <c r="D29">
        <v>2</v>
      </c>
      <c r="E29">
        <f t="shared" si="7"/>
        <v>0.5</v>
      </c>
      <c r="F29">
        <f t="shared" si="8"/>
        <v>0.00108248538644728</v>
      </c>
      <c r="G29">
        <f t="shared" si="9"/>
        <v>0.0373953068029543</v>
      </c>
      <c r="H29">
        <f t="shared" si="10"/>
        <v>3.84777921894016</v>
      </c>
      <c r="I29">
        <f t="shared" si="11"/>
        <v>192.388960947008</v>
      </c>
      <c r="M29">
        <f t="shared" si="5"/>
        <v>-0.00739174669625082</v>
      </c>
      <c r="P29">
        <f t="shared" si="6"/>
        <v>1.17177461187192e-6</v>
      </c>
    </row>
    <row r="30" ht="17.25" spans="1:16">
      <c r="A30" s="8" t="s">
        <v>56</v>
      </c>
      <c r="B30">
        <v>29</v>
      </c>
      <c r="C30">
        <v>33.79</v>
      </c>
      <c r="D30">
        <v>2</v>
      </c>
      <c r="E30">
        <f t="shared" si="7"/>
        <v>0.5</v>
      </c>
      <c r="F30">
        <f t="shared" si="8"/>
        <v>0.00627841524139424</v>
      </c>
      <c r="G30">
        <f t="shared" si="9"/>
        <v>0.000210601763844308</v>
      </c>
      <c r="H30">
        <f t="shared" si="10"/>
        <v>0.648901700523855</v>
      </c>
      <c r="I30">
        <f t="shared" si="11"/>
        <v>32.4450850261927</v>
      </c>
      <c r="M30">
        <f t="shared" si="5"/>
        <v>-0.0318355688964884</v>
      </c>
      <c r="P30">
        <f t="shared" si="6"/>
        <v>3.94184979433715e-5</v>
      </c>
    </row>
    <row r="31" ht="17.25" spans="1:16">
      <c r="A31" s="8" t="s">
        <v>57</v>
      </c>
      <c r="B31">
        <v>787</v>
      </c>
      <c r="C31">
        <v>290</v>
      </c>
      <c r="D31">
        <v>2</v>
      </c>
      <c r="E31">
        <f t="shared" si="7"/>
        <v>0.5</v>
      </c>
      <c r="F31">
        <f t="shared" si="8"/>
        <v>0.170383199826802</v>
      </c>
      <c r="G31">
        <f t="shared" si="9"/>
        <v>0.00180747296581383</v>
      </c>
      <c r="H31">
        <f t="shared" si="10"/>
        <v>17.2190672792616</v>
      </c>
      <c r="I31">
        <f t="shared" si="11"/>
        <v>860.953363963081</v>
      </c>
      <c r="M31">
        <f t="shared" si="5"/>
        <v>-0.301528045292139</v>
      </c>
      <c r="P31">
        <f t="shared" si="6"/>
        <v>0.0290304347832201</v>
      </c>
    </row>
    <row r="32" ht="17.25" spans="1:16">
      <c r="A32" s="8" t="s">
        <v>58</v>
      </c>
      <c r="B32">
        <v>1</v>
      </c>
      <c r="C32">
        <v>7.8</v>
      </c>
      <c r="D32">
        <v>1</v>
      </c>
      <c r="E32">
        <f t="shared" si="7"/>
        <v>0.25</v>
      </c>
      <c r="F32">
        <f t="shared" si="8"/>
        <v>0.000216497077289457</v>
      </c>
      <c r="G32">
        <f t="shared" si="9"/>
        <v>4.86147901149927e-5</v>
      </c>
      <c r="H32">
        <f t="shared" si="10"/>
        <v>0.0265111867404449</v>
      </c>
      <c r="I32">
        <f t="shared" si="11"/>
        <v>0.662779668511123</v>
      </c>
      <c r="M32">
        <f t="shared" si="5"/>
        <v>-0.00182678794337099</v>
      </c>
      <c r="P32">
        <f t="shared" si="6"/>
        <v>4.68709844748769e-8</v>
      </c>
    </row>
    <row r="33" spans="13:16">
      <c r="M33" s="6">
        <v>1.916</v>
      </c>
      <c r="N33" s="6">
        <f>30/LN(4619)</f>
        <v>3.55537288400238</v>
      </c>
      <c r="O33" s="6">
        <f>1.916/LN(31)</f>
        <v>0.557951991637448</v>
      </c>
      <c r="P33" s="6">
        <f>1-0.2303</f>
        <v>0.7697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selection activeCell="A2" sqref="A2:A23"/>
    </sheetView>
  </sheetViews>
  <sheetFormatPr defaultColWidth="8.89166666666667" defaultRowHeight="13.5"/>
  <cols>
    <col min="6" max="9" width="12.8916666666667"/>
    <col min="13" max="13" width="14.1083333333333"/>
    <col min="14" max="14" width="11.775"/>
    <col min="15" max="16" width="12.8916666666667"/>
  </cols>
  <sheetData>
    <row r="1" ht="17.25" spans="1:16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3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ht="17.25" spans="1:16">
      <c r="A2" s="8" t="s">
        <v>15</v>
      </c>
      <c r="B2">
        <v>13</v>
      </c>
      <c r="C2">
        <v>22.16</v>
      </c>
      <c r="D2">
        <v>3</v>
      </c>
      <c r="E2">
        <f t="shared" ref="E2:E23" si="0">D2/4</f>
        <v>0.75</v>
      </c>
      <c r="F2">
        <f t="shared" ref="F2:F23" si="1">B2/362</f>
        <v>0.0359116022099447</v>
      </c>
      <c r="G2">
        <f t="shared" ref="G2:G23" si="2">C2/8956</f>
        <v>0.00247431889236266</v>
      </c>
      <c r="H2">
        <f t="shared" ref="H2:H23" si="3">(F2+G2)*100</f>
        <v>3.83859211023074</v>
      </c>
      <c r="I2">
        <f t="shared" ref="I2:I23" si="4">H2*E2*100</f>
        <v>287.894408267306</v>
      </c>
      <c r="K2">
        <v>8956.52</v>
      </c>
      <c r="L2">
        <v>362</v>
      </c>
      <c r="M2">
        <f>F2*LN(F2)</f>
        <v>-0.119466942283798</v>
      </c>
      <c r="P2">
        <f>F2*F2</f>
        <v>0.00128964317328531</v>
      </c>
    </row>
    <row r="3" ht="17.25" spans="1:16">
      <c r="A3" s="8" t="s">
        <v>20</v>
      </c>
      <c r="B3">
        <v>9</v>
      </c>
      <c r="C3">
        <v>100.97</v>
      </c>
      <c r="D3">
        <v>2</v>
      </c>
      <c r="E3">
        <f t="shared" si="0"/>
        <v>0.5</v>
      </c>
      <c r="F3">
        <f t="shared" si="1"/>
        <v>0.0248618784530387</v>
      </c>
      <c r="G3">
        <f t="shared" si="2"/>
        <v>0.0112740062527914</v>
      </c>
      <c r="H3">
        <f t="shared" si="3"/>
        <v>3.61358847058301</v>
      </c>
      <c r="I3">
        <f t="shared" si="4"/>
        <v>180.67942352915</v>
      </c>
      <c r="M3">
        <f t="shared" ref="M3:M23" si="5">F3*LN(F3)</f>
        <v>-0.0918502119071988</v>
      </c>
      <c r="P3">
        <f t="shared" ref="P3:P23" si="6">F3*F3</f>
        <v>0.000618113000213669</v>
      </c>
    </row>
    <row r="4" ht="17.25" spans="1:16">
      <c r="A4" s="8" t="s">
        <v>21</v>
      </c>
      <c r="B4">
        <v>1</v>
      </c>
      <c r="C4">
        <v>1532</v>
      </c>
      <c r="D4">
        <v>1</v>
      </c>
      <c r="E4">
        <f t="shared" si="0"/>
        <v>0.25</v>
      </c>
      <c r="F4">
        <f t="shared" si="1"/>
        <v>0.00276243093922652</v>
      </c>
      <c r="G4">
        <f t="shared" si="2"/>
        <v>0.171058508262617</v>
      </c>
      <c r="H4">
        <f t="shared" si="3"/>
        <v>17.3820939201844</v>
      </c>
      <c r="I4">
        <f t="shared" si="4"/>
        <v>434.552348004609</v>
      </c>
      <c r="M4">
        <f t="shared" si="5"/>
        <v>-0.0162752602536624</v>
      </c>
      <c r="P4">
        <f t="shared" si="6"/>
        <v>7.63102469399591e-6</v>
      </c>
    </row>
    <row r="5" ht="17.25" spans="1:16">
      <c r="A5" s="8" t="s">
        <v>22</v>
      </c>
      <c r="B5">
        <v>3</v>
      </c>
      <c r="C5">
        <v>2.93</v>
      </c>
      <c r="D5">
        <v>2</v>
      </c>
      <c r="E5">
        <f t="shared" si="0"/>
        <v>0.5</v>
      </c>
      <c r="F5">
        <f t="shared" si="1"/>
        <v>0.00828729281767956</v>
      </c>
      <c r="G5">
        <f t="shared" si="2"/>
        <v>0.000327154979901742</v>
      </c>
      <c r="H5">
        <f t="shared" si="3"/>
        <v>0.86144477975813</v>
      </c>
      <c r="I5">
        <f t="shared" si="4"/>
        <v>43.0722389879065</v>
      </c>
      <c r="M5">
        <f t="shared" si="5"/>
        <v>-0.0397212590316933</v>
      </c>
      <c r="P5">
        <f t="shared" si="6"/>
        <v>6.86792222459632e-5</v>
      </c>
    </row>
    <row r="6" ht="17.25" spans="1:16">
      <c r="A6" s="8" t="s">
        <v>23</v>
      </c>
      <c r="B6">
        <v>1</v>
      </c>
      <c r="C6">
        <v>113.27</v>
      </c>
      <c r="D6">
        <v>1</v>
      </c>
      <c r="E6">
        <f t="shared" si="0"/>
        <v>0.25</v>
      </c>
      <c r="F6">
        <f t="shared" si="1"/>
        <v>0.00276243093922652</v>
      </c>
      <c r="G6">
        <f t="shared" si="2"/>
        <v>0.0126473872264404</v>
      </c>
      <c r="H6">
        <f t="shared" si="3"/>
        <v>1.54098181656669</v>
      </c>
      <c r="I6">
        <f t="shared" si="4"/>
        <v>38.5245454141672</v>
      </c>
      <c r="M6">
        <f t="shared" si="5"/>
        <v>-0.0162752602536624</v>
      </c>
      <c r="P6">
        <f t="shared" si="6"/>
        <v>7.63102469399591e-6</v>
      </c>
    </row>
    <row r="7" ht="17.25" spans="1:16">
      <c r="A7" s="8" t="s">
        <v>62</v>
      </c>
      <c r="B7">
        <v>9</v>
      </c>
      <c r="C7">
        <v>1091.25</v>
      </c>
      <c r="D7">
        <v>2</v>
      </c>
      <c r="E7">
        <f t="shared" si="0"/>
        <v>0.5</v>
      </c>
      <c r="F7">
        <f t="shared" si="1"/>
        <v>0.0248618784530387</v>
      </c>
      <c r="G7">
        <f t="shared" si="2"/>
        <v>0.121845690040197</v>
      </c>
      <c r="H7">
        <f t="shared" si="3"/>
        <v>14.6707568493235</v>
      </c>
      <c r="I7">
        <f t="shared" si="4"/>
        <v>733.537842466176</v>
      </c>
      <c r="M7">
        <f t="shared" si="5"/>
        <v>-0.0918502119071988</v>
      </c>
      <c r="P7">
        <f t="shared" si="6"/>
        <v>0.000618113000213669</v>
      </c>
    </row>
    <row r="8" ht="17.25" spans="1:16">
      <c r="A8" s="8" t="s">
        <v>26</v>
      </c>
      <c r="B8">
        <v>13</v>
      </c>
      <c r="C8">
        <v>15.94</v>
      </c>
      <c r="D8">
        <v>3</v>
      </c>
      <c r="E8">
        <f t="shared" si="0"/>
        <v>0.75</v>
      </c>
      <c r="F8">
        <f t="shared" si="1"/>
        <v>0.0359116022099447</v>
      </c>
      <c r="G8">
        <f t="shared" si="2"/>
        <v>0.00177981241625726</v>
      </c>
      <c r="H8">
        <f t="shared" si="3"/>
        <v>3.7691414626202</v>
      </c>
      <c r="I8">
        <f t="shared" si="4"/>
        <v>282.685609696515</v>
      </c>
      <c r="M8">
        <f t="shared" si="5"/>
        <v>-0.119466942283798</v>
      </c>
      <c r="P8">
        <f t="shared" si="6"/>
        <v>0.00128964317328531</v>
      </c>
    </row>
    <row r="9" ht="17.25" spans="1:16">
      <c r="A9" s="8" t="s">
        <v>63</v>
      </c>
      <c r="B9">
        <v>1</v>
      </c>
      <c r="C9">
        <v>10.85</v>
      </c>
      <c r="D9">
        <v>1</v>
      </c>
      <c r="E9">
        <f t="shared" si="0"/>
        <v>0.25</v>
      </c>
      <c r="F9">
        <f t="shared" si="1"/>
        <v>0.00276243093922652</v>
      </c>
      <c r="G9">
        <f t="shared" si="2"/>
        <v>0.00121147833854399</v>
      </c>
      <c r="H9">
        <f t="shared" si="3"/>
        <v>0.397390927777051</v>
      </c>
      <c r="I9">
        <f t="shared" si="4"/>
        <v>9.93477319442628</v>
      </c>
      <c r="M9">
        <f t="shared" si="5"/>
        <v>-0.0162752602536624</v>
      </c>
      <c r="P9">
        <f t="shared" si="6"/>
        <v>7.63102469399591e-6</v>
      </c>
    </row>
    <row r="10" ht="17.25" spans="1:16">
      <c r="A10" s="8" t="s">
        <v>29</v>
      </c>
      <c r="B10">
        <v>8</v>
      </c>
      <c r="C10">
        <v>226.08</v>
      </c>
      <c r="D10">
        <v>3</v>
      </c>
      <c r="E10">
        <f t="shared" si="0"/>
        <v>0.75</v>
      </c>
      <c r="F10">
        <f t="shared" si="1"/>
        <v>0.0220994475138122</v>
      </c>
      <c r="G10">
        <f t="shared" si="2"/>
        <v>0.0252434122376061</v>
      </c>
      <c r="H10">
        <f t="shared" si="3"/>
        <v>4.73428597514182</v>
      </c>
      <c r="I10">
        <f t="shared" si="4"/>
        <v>355.071448135637</v>
      </c>
      <c r="M10">
        <f t="shared" si="5"/>
        <v>-0.0842475728209046</v>
      </c>
      <c r="P10">
        <f t="shared" si="6"/>
        <v>0.000488385580415738</v>
      </c>
    </row>
    <row r="11" ht="17.25" spans="1:16">
      <c r="A11" s="8" t="s">
        <v>30</v>
      </c>
      <c r="B11">
        <v>1</v>
      </c>
      <c r="C11">
        <v>13.41</v>
      </c>
      <c r="D11">
        <v>1</v>
      </c>
      <c r="E11">
        <f t="shared" si="0"/>
        <v>0.25</v>
      </c>
      <c r="F11">
        <f t="shared" si="1"/>
        <v>0.00276243093922652</v>
      </c>
      <c r="G11">
        <f t="shared" si="2"/>
        <v>0.00149732023224654</v>
      </c>
      <c r="H11">
        <f t="shared" si="3"/>
        <v>0.425975117147306</v>
      </c>
      <c r="I11">
        <f t="shared" si="4"/>
        <v>10.6493779286826</v>
      </c>
      <c r="M11">
        <f t="shared" si="5"/>
        <v>-0.0162752602536624</v>
      </c>
      <c r="P11">
        <f t="shared" si="6"/>
        <v>7.63102469399591e-6</v>
      </c>
    </row>
    <row r="12" s="7" customFormat="1" ht="17.25" spans="1:16">
      <c r="A12" s="8" t="s">
        <v>31</v>
      </c>
      <c r="B12" s="7">
        <v>39</v>
      </c>
      <c r="C12" s="7">
        <v>270.45</v>
      </c>
      <c r="D12" s="7">
        <v>4</v>
      </c>
      <c r="E12" s="7">
        <f t="shared" si="0"/>
        <v>1</v>
      </c>
      <c r="F12" s="7">
        <f t="shared" si="1"/>
        <v>0.107734806629834</v>
      </c>
      <c r="G12" s="7">
        <f t="shared" si="2"/>
        <v>0.0301976328718178</v>
      </c>
      <c r="H12" s="7">
        <f t="shared" si="3"/>
        <v>13.7932439501652</v>
      </c>
      <c r="I12" s="7">
        <f t="shared" si="4"/>
        <v>1379.32439501652</v>
      </c>
      <c r="J12" s="3" t="s">
        <v>32</v>
      </c>
      <c r="M12">
        <f t="shared" si="5"/>
        <v>-0.240042044370577</v>
      </c>
      <c r="P12">
        <f t="shared" si="6"/>
        <v>0.0116067885595678</v>
      </c>
    </row>
    <row r="13" ht="17.25" spans="1:16">
      <c r="A13" s="8" t="s">
        <v>34</v>
      </c>
      <c r="B13">
        <v>20</v>
      </c>
      <c r="C13">
        <v>17.18</v>
      </c>
      <c r="D13">
        <v>3</v>
      </c>
      <c r="E13">
        <f t="shared" si="0"/>
        <v>0.75</v>
      </c>
      <c r="F13">
        <f t="shared" si="1"/>
        <v>0.0552486187845304</v>
      </c>
      <c r="G13">
        <f t="shared" si="2"/>
        <v>0.00191826708351943</v>
      </c>
      <c r="H13">
        <f t="shared" si="3"/>
        <v>5.71668858680498</v>
      </c>
      <c r="I13">
        <f t="shared" si="4"/>
        <v>428.751644010374</v>
      </c>
      <c r="M13">
        <f t="shared" si="5"/>
        <v>-0.159995134711148</v>
      </c>
      <c r="P13">
        <f t="shared" si="6"/>
        <v>0.00305240987759836</v>
      </c>
    </row>
    <row r="14" s="7" customFormat="1" ht="17.25" spans="1:16">
      <c r="A14" s="8" t="s">
        <v>35</v>
      </c>
      <c r="B14" s="7">
        <v>60</v>
      </c>
      <c r="C14" s="7">
        <v>2409.4</v>
      </c>
      <c r="D14" s="7">
        <v>4</v>
      </c>
      <c r="E14" s="7">
        <f t="shared" si="0"/>
        <v>1</v>
      </c>
      <c r="F14" s="7">
        <f t="shared" si="1"/>
        <v>0.165745856353591</v>
      </c>
      <c r="G14" s="7">
        <f t="shared" si="2"/>
        <v>0.269026351049576</v>
      </c>
      <c r="H14" s="7">
        <f t="shared" si="3"/>
        <v>43.4772207403167</v>
      </c>
      <c r="I14" s="7">
        <f t="shared" si="4"/>
        <v>4347.72207403167</v>
      </c>
      <c r="J14" s="3" t="s">
        <v>32</v>
      </c>
      <c r="M14">
        <f t="shared" si="5"/>
        <v>-0.29789496954757</v>
      </c>
      <c r="P14">
        <f t="shared" si="6"/>
        <v>0.0274716888983853</v>
      </c>
    </row>
    <row r="15" ht="17.25" spans="1:16">
      <c r="A15" s="8" t="s">
        <v>37</v>
      </c>
      <c r="B15">
        <v>9</v>
      </c>
      <c r="C15">
        <v>147.79</v>
      </c>
      <c r="D15">
        <v>2</v>
      </c>
      <c r="E15">
        <f t="shared" si="0"/>
        <v>0.5</v>
      </c>
      <c r="F15">
        <f t="shared" si="1"/>
        <v>0.0248618784530387</v>
      </c>
      <c r="G15">
        <f t="shared" si="2"/>
        <v>0.0165017865118356</v>
      </c>
      <c r="H15">
        <f t="shared" si="3"/>
        <v>4.13636649648743</v>
      </c>
      <c r="I15">
        <f t="shared" si="4"/>
        <v>206.818324824372</v>
      </c>
      <c r="M15">
        <f t="shared" si="5"/>
        <v>-0.0918502119071988</v>
      </c>
      <c r="P15">
        <f t="shared" si="6"/>
        <v>0.000618113000213669</v>
      </c>
    </row>
    <row r="16" ht="17.25" spans="1:16">
      <c r="A16" s="8" t="s">
        <v>38</v>
      </c>
      <c r="B16">
        <v>2</v>
      </c>
      <c r="C16">
        <v>947.01</v>
      </c>
      <c r="D16">
        <v>1</v>
      </c>
      <c r="E16">
        <f t="shared" si="0"/>
        <v>0.25</v>
      </c>
      <c r="F16">
        <f t="shared" si="1"/>
        <v>0.00552486187845304</v>
      </c>
      <c r="G16">
        <f t="shared" si="2"/>
        <v>0.105740285841894</v>
      </c>
      <c r="H16">
        <f t="shared" si="3"/>
        <v>11.1265147720347</v>
      </c>
      <c r="I16">
        <f t="shared" si="4"/>
        <v>278.162869300867</v>
      </c>
      <c r="M16">
        <f t="shared" si="5"/>
        <v>-0.0287209780732919</v>
      </c>
      <c r="P16">
        <f t="shared" si="6"/>
        <v>3.05240987759836e-5</v>
      </c>
    </row>
    <row r="17" s="7" customFormat="1" ht="17.25" spans="1:16">
      <c r="A17" s="8" t="s">
        <v>40</v>
      </c>
      <c r="B17" s="7">
        <v>79</v>
      </c>
      <c r="C17" s="7">
        <v>150.69</v>
      </c>
      <c r="D17" s="7">
        <v>3</v>
      </c>
      <c r="E17" s="7">
        <f t="shared" si="0"/>
        <v>0.75</v>
      </c>
      <c r="F17" s="7">
        <f t="shared" si="1"/>
        <v>0.218232044198895</v>
      </c>
      <c r="G17" s="7">
        <f t="shared" si="2"/>
        <v>0.0168255917820456</v>
      </c>
      <c r="H17" s="7">
        <f t="shared" si="3"/>
        <v>23.5057635980941</v>
      </c>
      <c r="I17" s="7">
        <f t="shared" si="4"/>
        <v>1762.93226985705</v>
      </c>
      <c r="J17" s="3" t="s">
        <v>32</v>
      </c>
      <c r="M17">
        <f t="shared" si="5"/>
        <v>-0.332192023174976</v>
      </c>
      <c r="P17">
        <f t="shared" si="6"/>
        <v>0.0476252251152285</v>
      </c>
    </row>
    <row r="18" ht="17.25" spans="1:16">
      <c r="A18" s="8" t="s">
        <v>44</v>
      </c>
      <c r="B18">
        <v>3</v>
      </c>
      <c r="C18">
        <v>1671.38</v>
      </c>
      <c r="D18">
        <v>2</v>
      </c>
      <c r="E18">
        <f t="shared" si="0"/>
        <v>0.5</v>
      </c>
      <c r="F18">
        <f t="shared" si="1"/>
        <v>0.00828729281767956</v>
      </c>
      <c r="G18">
        <f t="shared" si="2"/>
        <v>0.186621259490844</v>
      </c>
      <c r="H18">
        <f t="shared" si="3"/>
        <v>19.4908552308524</v>
      </c>
      <c r="I18">
        <f t="shared" si="4"/>
        <v>974.542761542618</v>
      </c>
      <c r="M18">
        <f t="shared" si="5"/>
        <v>-0.0397212590316933</v>
      </c>
      <c r="P18">
        <f t="shared" si="6"/>
        <v>6.86792222459632e-5</v>
      </c>
    </row>
    <row r="19" ht="17.25" spans="1:16">
      <c r="A19" s="8" t="s">
        <v>61</v>
      </c>
      <c r="B19">
        <v>5</v>
      </c>
      <c r="C19">
        <v>3.21</v>
      </c>
      <c r="D19">
        <v>1</v>
      </c>
      <c r="E19">
        <f t="shared" si="0"/>
        <v>0.25</v>
      </c>
      <c r="F19">
        <f t="shared" si="1"/>
        <v>0.0138121546961326</v>
      </c>
      <c r="G19">
        <f t="shared" si="2"/>
        <v>0.000358418937025458</v>
      </c>
      <c r="H19">
        <f t="shared" si="3"/>
        <v>1.41705736331581</v>
      </c>
      <c r="I19">
        <f t="shared" si="4"/>
        <v>35.4264340828951</v>
      </c>
      <c r="M19">
        <f t="shared" si="5"/>
        <v>-0.0591464958479513</v>
      </c>
      <c r="P19">
        <f t="shared" si="6"/>
        <v>0.000190775617349898</v>
      </c>
    </row>
    <row r="20" ht="17.25" spans="1:16">
      <c r="A20" s="8" t="s">
        <v>47</v>
      </c>
      <c r="B20">
        <v>2</v>
      </c>
      <c r="C20">
        <v>30.99</v>
      </c>
      <c r="D20">
        <v>1</v>
      </c>
      <c r="E20">
        <f t="shared" si="0"/>
        <v>0.25</v>
      </c>
      <c r="F20">
        <f t="shared" si="1"/>
        <v>0.00552486187845304</v>
      </c>
      <c r="G20">
        <f t="shared" si="2"/>
        <v>0.00346025011165699</v>
      </c>
      <c r="H20">
        <f t="shared" si="3"/>
        <v>0.898511199011003</v>
      </c>
      <c r="I20">
        <f t="shared" si="4"/>
        <v>22.4627799752751</v>
      </c>
      <c r="M20">
        <f t="shared" si="5"/>
        <v>-0.0287209780732919</v>
      </c>
      <c r="P20">
        <f t="shared" si="6"/>
        <v>3.05240987759836e-5</v>
      </c>
    </row>
    <row r="21" s="7" customFormat="1" ht="17.25" spans="1:16">
      <c r="A21" s="8" t="s">
        <v>53</v>
      </c>
      <c r="B21" s="7">
        <v>52</v>
      </c>
      <c r="C21" s="7">
        <v>162.06</v>
      </c>
      <c r="D21" s="7">
        <v>3</v>
      </c>
      <c r="E21" s="7">
        <f t="shared" si="0"/>
        <v>0.75</v>
      </c>
      <c r="F21" s="7">
        <f t="shared" si="1"/>
        <v>0.143646408839779</v>
      </c>
      <c r="G21" s="7">
        <f t="shared" si="2"/>
        <v>0.0180951317552479</v>
      </c>
      <c r="H21" s="7">
        <f t="shared" si="3"/>
        <v>16.1741540595027</v>
      </c>
      <c r="I21" s="7">
        <f t="shared" si="4"/>
        <v>1213.0615544627</v>
      </c>
      <c r="J21" s="3" t="s">
        <v>32</v>
      </c>
      <c r="M21">
        <f t="shared" si="5"/>
        <v>-0.278731562565486</v>
      </c>
      <c r="P21">
        <f t="shared" si="6"/>
        <v>0.0206342907725649</v>
      </c>
    </row>
    <row r="22" ht="17.25" spans="1:16">
      <c r="A22" s="8" t="s">
        <v>56</v>
      </c>
      <c r="B22">
        <v>12</v>
      </c>
      <c r="C22">
        <v>7.23</v>
      </c>
      <c r="D22">
        <v>2</v>
      </c>
      <c r="E22">
        <f t="shared" si="0"/>
        <v>0.5</v>
      </c>
      <c r="F22">
        <f t="shared" si="1"/>
        <v>0.0331491712707182</v>
      </c>
      <c r="G22">
        <f t="shared" si="2"/>
        <v>0.000807280035730237</v>
      </c>
      <c r="H22">
        <f t="shared" si="3"/>
        <v>3.39564513064485</v>
      </c>
      <c r="I22">
        <f t="shared" si="4"/>
        <v>169.782256532242</v>
      </c>
      <c r="M22">
        <f t="shared" si="5"/>
        <v>-0.112930526918379</v>
      </c>
      <c r="P22">
        <f t="shared" si="6"/>
        <v>0.00109886755593541</v>
      </c>
    </row>
    <row r="23" ht="17.25" spans="1:16">
      <c r="A23" s="8" t="s">
        <v>57</v>
      </c>
      <c r="B23">
        <v>20</v>
      </c>
      <c r="C23">
        <v>10.27</v>
      </c>
      <c r="D23">
        <v>2</v>
      </c>
      <c r="E23">
        <f t="shared" si="0"/>
        <v>0.5</v>
      </c>
      <c r="F23">
        <f t="shared" si="1"/>
        <v>0.0552486187845304</v>
      </c>
      <c r="G23">
        <f t="shared" si="2"/>
        <v>0.00114671728450201</v>
      </c>
      <c r="H23">
        <f t="shared" si="3"/>
        <v>5.63953360690324</v>
      </c>
      <c r="I23">
        <f t="shared" si="4"/>
        <v>281.976680345162</v>
      </c>
      <c r="M23">
        <f t="shared" si="5"/>
        <v>-0.159995134711148</v>
      </c>
      <c r="P23">
        <f t="shared" si="6"/>
        <v>0.00305240987759836</v>
      </c>
    </row>
    <row r="24" spans="13:16">
      <c r="M24" s="6">
        <v>2.441</v>
      </c>
      <c r="N24" s="6">
        <f>21/LN(362)</f>
        <v>3.56437002048572</v>
      </c>
      <c r="O24" s="6">
        <f>2.441/LN(22)</f>
        <v>0.78970122113591</v>
      </c>
      <c r="P24" s="6">
        <f>1-0.1198</f>
        <v>0.8802</v>
      </c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opLeftCell="A7" workbookViewId="0">
      <selection activeCell="B17" sqref="B17"/>
    </sheetView>
  </sheetViews>
  <sheetFormatPr defaultColWidth="8.89166666666667" defaultRowHeight="13.5"/>
  <cols>
    <col min="1" max="1" width="23" customWidth="1"/>
    <col min="6" max="9" width="12.8916666666667"/>
    <col min="11" max="11" width="21" customWidth="1"/>
    <col min="12" max="12" width="29.875" customWidth="1"/>
    <col min="13" max="13" width="14.1083333333333"/>
    <col min="14" max="16" width="12.8916666666667"/>
  </cols>
  <sheetData>
    <row r="1" ht="17.25" spans="1:16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3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spans="1:16">
      <c r="A2" s="4" t="s">
        <v>15</v>
      </c>
      <c r="B2">
        <v>18</v>
      </c>
      <c r="C2">
        <v>39.52</v>
      </c>
      <c r="D2">
        <v>3</v>
      </c>
      <c r="E2">
        <f t="shared" ref="E2:E28" si="0">D2/4</f>
        <v>0.75</v>
      </c>
      <c r="F2">
        <f t="shared" ref="F2:F28" si="1">B2/1021</f>
        <v>0.0176297747306562</v>
      </c>
      <c r="G2">
        <f t="shared" ref="G2:G28" si="2">C2/16954</f>
        <v>0.00233101333018757</v>
      </c>
      <c r="H2">
        <f t="shared" ref="H2:H28" si="3">(F2+G2)*100</f>
        <v>1.99607880608438</v>
      </c>
      <c r="I2">
        <f t="shared" ref="I2:I28" si="4">H2*E2*100</f>
        <v>149.705910456328</v>
      </c>
      <c r="K2">
        <v>16954</v>
      </c>
      <c r="L2">
        <v>1021</v>
      </c>
      <c r="M2">
        <f>F2*LN(F2)</f>
        <v>-0.0711919579675152</v>
      </c>
      <c r="P2">
        <f>F2*F2</f>
        <v>0.000310808957053685</v>
      </c>
    </row>
    <row r="3" ht="13" customHeight="1" spans="1:16">
      <c r="A3" s="4" t="s">
        <v>18</v>
      </c>
      <c r="B3">
        <v>1</v>
      </c>
      <c r="C3">
        <v>1.24</v>
      </c>
      <c r="D3">
        <v>1</v>
      </c>
      <c r="E3">
        <f t="shared" si="0"/>
        <v>0.25</v>
      </c>
      <c r="F3">
        <f t="shared" si="1"/>
        <v>0.000979431929480901</v>
      </c>
      <c r="G3">
        <f t="shared" si="2"/>
        <v>7.31390822224844e-5</v>
      </c>
      <c r="H3">
        <f t="shared" si="3"/>
        <v>0.105257101170339</v>
      </c>
      <c r="I3">
        <f t="shared" si="4"/>
        <v>2.63142752925846</v>
      </c>
      <c r="M3">
        <f t="shared" ref="M3:M28" si="5">F3*LN(F3)</f>
        <v>-0.00678603116372641</v>
      </c>
      <c r="P3">
        <f t="shared" ref="P3:P28" si="6">F3*F3</f>
        <v>9.59286904486681e-7</v>
      </c>
    </row>
    <row r="4" spans="1:16">
      <c r="A4" s="4" t="s">
        <v>20</v>
      </c>
      <c r="B4">
        <v>1</v>
      </c>
      <c r="C4">
        <v>19.21</v>
      </c>
      <c r="D4">
        <v>1</v>
      </c>
      <c r="E4">
        <f t="shared" si="0"/>
        <v>0.25</v>
      </c>
      <c r="F4">
        <f t="shared" si="1"/>
        <v>0.000979431929480901</v>
      </c>
      <c r="G4">
        <f t="shared" si="2"/>
        <v>0.00113306594314026</v>
      </c>
      <c r="H4">
        <f t="shared" si="3"/>
        <v>0.211249787262116</v>
      </c>
      <c r="I4">
        <f t="shared" si="4"/>
        <v>5.28124468155291</v>
      </c>
      <c r="M4">
        <f t="shared" si="5"/>
        <v>-0.00678603116372641</v>
      </c>
      <c r="P4">
        <f t="shared" si="6"/>
        <v>9.59286904486681e-7</v>
      </c>
    </row>
    <row r="5" spans="1:16">
      <c r="A5" s="4" t="s">
        <v>21</v>
      </c>
      <c r="B5">
        <v>2</v>
      </c>
      <c r="C5">
        <v>840.65</v>
      </c>
      <c r="D5">
        <v>2</v>
      </c>
      <c r="E5">
        <f t="shared" si="0"/>
        <v>0.5</v>
      </c>
      <c r="F5">
        <f t="shared" si="1"/>
        <v>0.0019588638589618</v>
      </c>
      <c r="G5">
        <f t="shared" si="2"/>
        <v>0.0495841689276867</v>
      </c>
      <c r="H5">
        <f t="shared" si="3"/>
        <v>5.15430327866485</v>
      </c>
      <c r="I5">
        <f t="shared" si="4"/>
        <v>257.715163933242</v>
      </c>
      <c r="M5">
        <f t="shared" si="5"/>
        <v>-0.0122142813665127</v>
      </c>
      <c r="P5">
        <f t="shared" si="6"/>
        <v>3.83714761794672e-6</v>
      </c>
    </row>
    <row r="6" spans="1:16">
      <c r="A6" s="4" t="s">
        <v>22</v>
      </c>
      <c r="B6">
        <v>13</v>
      </c>
      <c r="C6">
        <v>29.21</v>
      </c>
      <c r="D6">
        <v>3</v>
      </c>
      <c r="E6">
        <f t="shared" si="0"/>
        <v>0.75</v>
      </c>
      <c r="F6">
        <f t="shared" si="1"/>
        <v>0.0127326150832517</v>
      </c>
      <c r="G6">
        <f t="shared" si="2"/>
        <v>0.0017228972513861</v>
      </c>
      <c r="H6">
        <f t="shared" si="3"/>
        <v>1.44555123346378</v>
      </c>
      <c r="I6">
        <f t="shared" si="4"/>
        <v>108.416342509784</v>
      </c>
      <c r="M6">
        <f t="shared" si="5"/>
        <v>-0.0555598922518518</v>
      </c>
      <c r="P6">
        <f t="shared" si="6"/>
        <v>0.000162119486858249</v>
      </c>
    </row>
    <row r="7" spans="1:16">
      <c r="A7" s="4" t="s">
        <v>62</v>
      </c>
      <c r="B7">
        <v>3</v>
      </c>
      <c r="C7">
        <v>349.65</v>
      </c>
      <c r="D7">
        <v>1</v>
      </c>
      <c r="E7">
        <f t="shared" si="0"/>
        <v>0.25</v>
      </c>
      <c r="F7">
        <f t="shared" si="1"/>
        <v>0.0029382957884427</v>
      </c>
      <c r="G7">
        <f t="shared" si="2"/>
        <v>0.0206234516928159</v>
      </c>
      <c r="H7">
        <f t="shared" si="3"/>
        <v>2.35617474812586</v>
      </c>
      <c r="I7">
        <f t="shared" si="4"/>
        <v>58.9043687031464</v>
      </c>
      <c r="M7">
        <f t="shared" si="5"/>
        <v>-0.0171300456302543</v>
      </c>
      <c r="P7">
        <f t="shared" si="6"/>
        <v>8.63358214038013e-6</v>
      </c>
    </row>
    <row r="8" spans="1:16">
      <c r="A8" s="4" t="s">
        <v>25</v>
      </c>
      <c r="B8">
        <v>3</v>
      </c>
      <c r="C8">
        <v>12.73</v>
      </c>
      <c r="D8">
        <v>2</v>
      </c>
      <c r="E8">
        <f t="shared" si="0"/>
        <v>0.5</v>
      </c>
      <c r="F8">
        <f t="shared" si="1"/>
        <v>0.0029382957884427</v>
      </c>
      <c r="G8">
        <f t="shared" si="2"/>
        <v>0.000750855255396957</v>
      </c>
      <c r="H8">
        <f t="shared" si="3"/>
        <v>0.368915104383966</v>
      </c>
      <c r="I8">
        <f t="shared" si="4"/>
        <v>18.4457552191983</v>
      </c>
      <c r="M8">
        <f t="shared" si="5"/>
        <v>-0.0171300456302543</v>
      </c>
      <c r="P8">
        <f t="shared" si="6"/>
        <v>8.63358214038013e-6</v>
      </c>
    </row>
    <row r="9" spans="1:16">
      <c r="A9" s="4" t="s">
        <v>26</v>
      </c>
      <c r="B9">
        <v>26</v>
      </c>
      <c r="C9">
        <v>25.47</v>
      </c>
      <c r="D9">
        <v>2</v>
      </c>
      <c r="E9">
        <f t="shared" si="0"/>
        <v>0.5</v>
      </c>
      <c r="F9">
        <f t="shared" si="1"/>
        <v>0.0254652301665034</v>
      </c>
      <c r="G9">
        <f t="shared" si="2"/>
        <v>0.00150230034210216</v>
      </c>
      <c r="H9">
        <f t="shared" si="3"/>
        <v>2.69675305086056</v>
      </c>
      <c r="I9">
        <f t="shared" si="4"/>
        <v>134.837652543028</v>
      </c>
      <c r="M9">
        <f t="shared" si="5"/>
        <v>-0.0934686320114817</v>
      </c>
      <c r="P9">
        <f t="shared" si="6"/>
        <v>0.000648477947432996</v>
      </c>
    </row>
    <row r="10" spans="1:16">
      <c r="A10" s="4" t="s">
        <v>63</v>
      </c>
      <c r="B10">
        <v>6</v>
      </c>
      <c r="C10">
        <v>38.57</v>
      </c>
      <c r="D10">
        <v>1</v>
      </c>
      <c r="E10">
        <f t="shared" si="0"/>
        <v>0.25</v>
      </c>
      <c r="F10">
        <f t="shared" si="1"/>
        <v>0.00587659157688541</v>
      </c>
      <c r="G10">
        <f t="shared" si="2"/>
        <v>0.00227497935590421</v>
      </c>
      <c r="H10">
        <f t="shared" si="3"/>
        <v>0.815157093278962</v>
      </c>
      <c r="I10">
        <f t="shared" si="4"/>
        <v>20.378927331974</v>
      </c>
      <c r="M10">
        <f t="shared" si="5"/>
        <v>-0.0301867483776882</v>
      </c>
      <c r="P10">
        <f t="shared" si="6"/>
        <v>3.45343285615205e-5</v>
      </c>
    </row>
    <row r="11" spans="1:16">
      <c r="A11" s="4" t="s">
        <v>29</v>
      </c>
      <c r="B11">
        <v>4</v>
      </c>
      <c r="C11">
        <v>203.4</v>
      </c>
      <c r="D11">
        <v>2</v>
      </c>
      <c r="E11">
        <f t="shared" si="0"/>
        <v>0.5</v>
      </c>
      <c r="F11">
        <f t="shared" si="1"/>
        <v>0.0039177277179236</v>
      </c>
      <c r="G11">
        <f t="shared" si="2"/>
        <v>0.0119971688097204</v>
      </c>
      <c r="H11">
        <f t="shared" si="3"/>
        <v>1.5914896527644</v>
      </c>
      <c r="I11">
        <f t="shared" si="4"/>
        <v>79.5744826382201</v>
      </c>
      <c r="M11">
        <f t="shared" si="5"/>
        <v>-0.0217130008111451</v>
      </c>
      <c r="P11">
        <f t="shared" si="6"/>
        <v>1.53485904717869e-5</v>
      </c>
    </row>
    <row r="12" spans="1:16">
      <c r="A12" s="4" t="s">
        <v>30</v>
      </c>
      <c r="B12">
        <v>9</v>
      </c>
      <c r="C12">
        <v>69.45</v>
      </c>
      <c r="D12">
        <v>1</v>
      </c>
      <c r="E12">
        <f t="shared" si="0"/>
        <v>0.25</v>
      </c>
      <c r="F12">
        <f t="shared" si="1"/>
        <v>0.00881488736532811</v>
      </c>
      <c r="G12">
        <f t="shared" si="2"/>
        <v>0.00409637843576737</v>
      </c>
      <c r="H12">
        <f t="shared" si="3"/>
        <v>1.29112658010955</v>
      </c>
      <c r="I12">
        <f t="shared" si="4"/>
        <v>32.2781645027387</v>
      </c>
      <c r="M12">
        <f t="shared" si="5"/>
        <v>-0.0417059933079883</v>
      </c>
      <c r="P12">
        <f t="shared" si="6"/>
        <v>7.77022392634212e-5</v>
      </c>
    </row>
    <row r="13" ht="17.25" spans="1:16">
      <c r="A13" s="5" t="s">
        <v>31</v>
      </c>
      <c r="B13">
        <v>215</v>
      </c>
      <c r="C13">
        <v>1461.32</v>
      </c>
      <c r="D13">
        <v>4</v>
      </c>
      <c r="E13">
        <f t="shared" si="0"/>
        <v>1</v>
      </c>
      <c r="F13">
        <f t="shared" si="1"/>
        <v>0.210577864838394</v>
      </c>
      <c r="G13">
        <f t="shared" si="2"/>
        <v>0.0861932287365813</v>
      </c>
      <c r="H13">
        <f t="shared" si="3"/>
        <v>29.6771093574975</v>
      </c>
      <c r="I13">
        <f t="shared" si="4"/>
        <v>2967.71093574975</v>
      </c>
      <c r="J13" s="3" t="s">
        <v>32</v>
      </c>
      <c r="M13">
        <f t="shared" si="5"/>
        <v>-0.328059211418174</v>
      </c>
      <c r="P13">
        <f t="shared" si="6"/>
        <v>0.0443430371598968</v>
      </c>
    </row>
    <row r="14" spans="1:16">
      <c r="A14" s="4" t="s">
        <v>33</v>
      </c>
      <c r="B14">
        <v>3</v>
      </c>
      <c r="C14">
        <v>140.23</v>
      </c>
      <c r="D14">
        <v>2</v>
      </c>
      <c r="E14">
        <f t="shared" si="0"/>
        <v>0.5</v>
      </c>
      <c r="F14">
        <f t="shared" si="1"/>
        <v>0.0029382957884427</v>
      </c>
      <c r="G14">
        <f t="shared" si="2"/>
        <v>0.00827120443553144</v>
      </c>
      <c r="H14">
        <f t="shared" si="3"/>
        <v>1.12095002239741</v>
      </c>
      <c r="I14">
        <f t="shared" si="4"/>
        <v>56.0475011198707</v>
      </c>
      <c r="M14">
        <f t="shared" si="5"/>
        <v>-0.0171300456302543</v>
      </c>
      <c r="P14">
        <f t="shared" si="6"/>
        <v>8.63358214038013e-6</v>
      </c>
    </row>
    <row r="15" spans="1:16">
      <c r="A15" s="4" t="s">
        <v>34</v>
      </c>
      <c r="B15">
        <v>10</v>
      </c>
      <c r="C15">
        <v>4.48</v>
      </c>
      <c r="D15">
        <v>2</v>
      </c>
      <c r="E15">
        <f t="shared" si="0"/>
        <v>0.5</v>
      </c>
      <c r="F15">
        <f t="shared" si="1"/>
        <v>0.00979431929480901</v>
      </c>
      <c r="G15">
        <f t="shared" si="2"/>
        <v>0.000264244426094137</v>
      </c>
      <c r="H15">
        <f t="shared" si="3"/>
        <v>1.00585637209031</v>
      </c>
      <c r="I15">
        <f t="shared" si="4"/>
        <v>50.2928186045157</v>
      </c>
      <c r="M15">
        <f t="shared" si="5"/>
        <v>-0.0453080580330129</v>
      </c>
      <c r="P15">
        <f t="shared" si="6"/>
        <v>9.59286904486681e-5</v>
      </c>
    </row>
    <row r="16" ht="17.25" spans="1:16">
      <c r="A16" s="5" t="s">
        <v>35</v>
      </c>
      <c r="B16">
        <v>164</v>
      </c>
      <c r="C16">
        <v>2178.73</v>
      </c>
      <c r="D16">
        <v>4</v>
      </c>
      <c r="E16">
        <f t="shared" si="0"/>
        <v>1</v>
      </c>
      <c r="F16">
        <f t="shared" si="1"/>
        <v>0.160626836434868</v>
      </c>
      <c r="G16">
        <f t="shared" si="2"/>
        <v>0.128508316621446</v>
      </c>
      <c r="H16">
        <f t="shared" si="3"/>
        <v>28.9135153056314</v>
      </c>
      <c r="I16">
        <f t="shared" si="4"/>
        <v>2891.35153056314</v>
      </c>
      <c r="J16" s="3" t="s">
        <v>32</v>
      </c>
      <c r="M16">
        <f t="shared" si="5"/>
        <v>-0.29373370030934</v>
      </c>
      <c r="P16">
        <f t="shared" si="6"/>
        <v>0.0258009805830738</v>
      </c>
    </row>
    <row r="17" ht="17.25" spans="1:16">
      <c r="A17" s="5" t="s">
        <v>37</v>
      </c>
      <c r="B17">
        <v>27</v>
      </c>
      <c r="C17">
        <v>3743.96</v>
      </c>
      <c r="D17">
        <v>4</v>
      </c>
      <c r="E17">
        <f t="shared" si="0"/>
        <v>1</v>
      </c>
      <c r="F17">
        <f t="shared" si="1"/>
        <v>0.0264446620959843</v>
      </c>
      <c r="G17">
        <f t="shared" si="2"/>
        <v>0.22083048248201</v>
      </c>
      <c r="H17">
        <f t="shared" si="3"/>
        <v>24.7275144577994</v>
      </c>
      <c r="I17">
        <f t="shared" si="4"/>
        <v>2472.75144577994</v>
      </c>
      <c r="J17" s="3" t="s">
        <v>32</v>
      </c>
      <c r="M17">
        <f t="shared" si="5"/>
        <v>-0.0960655491756406</v>
      </c>
      <c r="P17">
        <f t="shared" si="6"/>
        <v>0.00069932015337079</v>
      </c>
    </row>
    <row r="18" ht="17.25" spans="1:16">
      <c r="A18" s="5" t="s">
        <v>38</v>
      </c>
      <c r="B18">
        <v>10</v>
      </c>
      <c r="C18">
        <v>5838.3</v>
      </c>
      <c r="D18">
        <v>3</v>
      </c>
      <c r="E18">
        <f t="shared" si="0"/>
        <v>0.75</v>
      </c>
      <c r="F18">
        <f t="shared" si="1"/>
        <v>0.00979431929480901</v>
      </c>
      <c r="G18">
        <f t="shared" si="2"/>
        <v>0.34436121269317</v>
      </c>
      <c r="H18">
        <f t="shared" si="3"/>
        <v>35.4155531987979</v>
      </c>
      <c r="I18">
        <f t="shared" si="4"/>
        <v>2656.16648990984</v>
      </c>
      <c r="J18" s="3" t="s">
        <v>32</v>
      </c>
      <c r="M18">
        <f t="shared" si="5"/>
        <v>-0.0453080580330129</v>
      </c>
      <c r="P18">
        <f t="shared" si="6"/>
        <v>9.59286904486681e-5</v>
      </c>
    </row>
    <row r="19" spans="1:16">
      <c r="A19" s="4" t="s">
        <v>39</v>
      </c>
      <c r="B19">
        <v>1</v>
      </c>
      <c r="C19">
        <v>60.52</v>
      </c>
      <c r="D19">
        <v>1</v>
      </c>
      <c r="E19">
        <f t="shared" si="0"/>
        <v>0.25</v>
      </c>
      <c r="F19">
        <f t="shared" si="1"/>
        <v>0.000979431929480901</v>
      </c>
      <c r="G19">
        <f t="shared" si="2"/>
        <v>0.00356965907750383</v>
      </c>
      <c r="H19">
        <f t="shared" si="3"/>
        <v>0.454909100698474</v>
      </c>
      <c r="I19">
        <f t="shared" si="4"/>
        <v>11.3727275174618</v>
      </c>
      <c r="M19">
        <f t="shared" si="5"/>
        <v>-0.00678603116372641</v>
      </c>
      <c r="P19">
        <f t="shared" si="6"/>
        <v>9.59286904486681e-7</v>
      </c>
    </row>
    <row r="20" spans="1:16">
      <c r="A20" s="5" t="s">
        <v>40</v>
      </c>
      <c r="B20">
        <v>85</v>
      </c>
      <c r="C20">
        <v>101.69</v>
      </c>
      <c r="D20">
        <v>4</v>
      </c>
      <c r="E20">
        <f t="shared" si="0"/>
        <v>1</v>
      </c>
      <c r="F20">
        <f t="shared" si="1"/>
        <v>0.0832517140058766</v>
      </c>
      <c r="G20">
        <f t="shared" si="2"/>
        <v>0.00599799457355196</v>
      </c>
      <c r="H20">
        <f t="shared" si="3"/>
        <v>8.92497085794286</v>
      </c>
      <c r="I20">
        <f t="shared" si="4"/>
        <v>892.497085794286</v>
      </c>
      <c r="M20">
        <f t="shared" si="5"/>
        <v>-0.206954317083565</v>
      </c>
      <c r="P20">
        <f t="shared" si="6"/>
        <v>0.00693084788491627</v>
      </c>
    </row>
    <row r="21" spans="1:16">
      <c r="A21" s="4" t="s">
        <v>41</v>
      </c>
      <c r="B21">
        <v>2</v>
      </c>
      <c r="C21">
        <v>2.07</v>
      </c>
      <c r="D21">
        <v>1</v>
      </c>
      <c r="E21">
        <f t="shared" si="0"/>
        <v>0.25</v>
      </c>
      <c r="F21">
        <f t="shared" si="1"/>
        <v>0.0019588638589618</v>
      </c>
      <c r="G21">
        <f t="shared" si="2"/>
        <v>0.000122095080806889</v>
      </c>
      <c r="H21">
        <f t="shared" si="3"/>
        <v>0.208095893976869</v>
      </c>
      <c r="I21">
        <f t="shared" si="4"/>
        <v>5.20239734942173</v>
      </c>
      <c r="M21">
        <f t="shared" si="5"/>
        <v>-0.0122142813665127</v>
      </c>
      <c r="P21">
        <f t="shared" si="6"/>
        <v>3.83714761794672e-6</v>
      </c>
    </row>
    <row r="22" spans="1:16">
      <c r="A22" s="4" t="s">
        <v>44</v>
      </c>
      <c r="B22">
        <v>3</v>
      </c>
      <c r="C22">
        <v>1043.7</v>
      </c>
      <c r="D22">
        <v>2</v>
      </c>
      <c r="E22">
        <f t="shared" si="0"/>
        <v>0.5</v>
      </c>
      <c r="F22">
        <f t="shared" si="1"/>
        <v>0.0029382957884427</v>
      </c>
      <c r="G22">
        <f t="shared" si="2"/>
        <v>0.0615606936416185</v>
      </c>
      <c r="H22">
        <f t="shared" si="3"/>
        <v>6.44989894300612</v>
      </c>
      <c r="I22">
        <f t="shared" si="4"/>
        <v>322.494947150306</v>
      </c>
      <c r="M22">
        <f t="shared" si="5"/>
        <v>-0.0171300456302543</v>
      </c>
      <c r="P22">
        <f t="shared" si="6"/>
        <v>8.63358214038013e-6</v>
      </c>
    </row>
    <row r="23" spans="1:16">
      <c r="A23" s="4" t="s">
        <v>47</v>
      </c>
      <c r="B23">
        <v>1</v>
      </c>
      <c r="C23">
        <v>1.56</v>
      </c>
      <c r="D23">
        <v>1</v>
      </c>
      <c r="E23">
        <f t="shared" si="0"/>
        <v>0.25</v>
      </c>
      <c r="F23">
        <f t="shared" si="1"/>
        <v>0.000979431929480901</v>
      </c>
      <c r="G23">
        <f t="shared" si="2"/>
        <v>9.20136840863513e-5</v>
      </c>
      <c r="H23">
        <f t="shared" si="3"/>
        <v>0.107144561356725</v>
      </c>
      <c r="I23">
        <f t="shared" si="4"/>
        <v>2.67861403391813</v>
      </c>
      <c r="M23">
        <f t="shared" si="5"/>
        <v>-0.00678603116372641</v>
      </c>
      <c r="P23">
        <f t="shared" si="6"/>
        <v>9.59286904486681e-7</v>
      </c>
    </row>
    <row r="24" spans="1:16">
      <c r="A24" s="4" t="s">
        <v>65</v>
      </c>
      <c r="B24">
        <v>2</v>
      </c>
      <c r="C24">
        <v>1.358</v>
      </c>
      <c r="D24">
        <v>1</v>
      </c>
      <c r="E24">
        <f t="shared" si="0"/>
        <v>0.25</v>
      </c>
      <c r="F24">
        <f t="shared" si="1"/>
        <v>0.0019588638589618</v>
      </c>
      <c r="G24">
        <f t="shared" si="2"/>
        <v>8.00990916597853e-5</v>
      </c>
      <c r="H24">
        <f t="shared" si="3"/>
        <v>0.203896295062159</v>
      </c>
      <c r="I24">
        <f t="shared" si="4"/>
        <v>5.09740737655397</v>
      </c>
      <c r="M24">
        <f t="shared" si="5"/>
        <v>-0.0122142813665127</v>
      </c>
      <c r="P24">
        <f t="shared" si="6"/>
        <v>3.83714761794672e-6</v>
      </c>
    </row>
    <row r="25" spans="1:16">
      <c r="A25" s="4" t="s">
        <v>53</v>
      </c>
      <c r="B25">
        <v>381</v>
      </c>
      <c r="C25">
        <v>688.63</v>
      </c>
      <c r="D25">
        <v>4</v>
      </c>
      <c r="E25">
        <f t="shared" si="0"/>
        <v>1</v>
      </c>
      <c r="F25">
        <f t="shared" si="1"/>
        <v>0.373163565132223</v>
      </c>
      <c r="G25">
        <f t="shared" si="2"/>
        <v>0.0406175533797334</v>
      </c>
      <c r="H25">
        <f t="shared" si="3"/>
        <v>41.3781118511957</v>
      </c>
      <c r="I25">
        <f t="shared" si="4"/>
        <v>4137.81118511957</v>
      </c>
      <c r="M25">
        <f t="shared" si="5"/>
        <v>-0.367841671691934</v>
      </c>
      <c r="P25">
        <f t="shared" si="6"/>
        <v>0.139251046342191</v>
      </c>
    </row>
    <row r="26" spans="1:16">
      <c r="A26" s="4" t="s">
        <v>56</v>
      </c>
      <c r="B26">
        <v>28</v>
      </c>
      <c r="C26">
        <v>55.14</v>
      </c>
      <c r="D26">
        <v>3</v>
      </c>
      <c r="E26">
        <f t="shared" si="0"/>
        <v>0.75</v>
      </c>
      <c r="F26">
        <f t="shared" si="1"/>
        <v>0.0274240940254652</v>
      </c>
      <c r="G26">
        <f t="shared" si="2"/>
        <v>0.00325232983366757</v>
      </c>
      <c r="H26">
        <f t="shared" si="3"/>
        <v>3.06764238591328</v>
      </c>
      <c r="I26">
        <f t="shared" si="4"/>
        <v>230.073178943496</v>
      </c>
      <c r="M26">
        <f t="shared" si="5"/>
        <v>-0.0986261827852154</v>
      </c>
      <c r="P26">
        <f t="shared" si="6"/>
        <v>0.000752080933117558</v>
      </c>
    </row>
    <row r="27" spans="1:16">
      <c r="A27" s="4" t="s">
        <v>57</v>
      </c>
      <c r="B27">
        <v>2</v>
      </c>
      <c r="C27">
        <v>2.82</v>
      </c>
      <c r="D27">
        <v>1</v>
      </c>
      <c r="E27">
        <f t="shared" si="0"/>
        <v>0.25</v>
      </c>
      <c r="F27">
        <f t="shared" si="1"/>
        <v>0.0019588638589618</v>
      </c>
      <c r="G27">
        <f t="shared" si="2"/>
        <v>0.000166332428925327</v>
      </c>
      <c r="H27">
        <f t="shared" si="3"/>
        <v>0.212519628788713</v>
      </c>
      <c r="I27">
        <f t="shared" si="4"/>
        <v>5.31299071971782</v>
      </c>
      <c r="M27">
        <f t="shared" si="5"/>
        <v>-0.0122142813665127</v>
      </c>
      <c r="P27">
        <f t="shared" si="6"/>
        <v>3.83714761794672e-6</v>
      </c>
    </row>
    <row r="28" spans="1:16">
      <c r="A28" t="s">
        <v>58</v>
      </c>
      <c r="B28">
        <v>1</v>
      </c>
      <c r="C28">
        <v>1.34</v>
      </c>
      <c r="D28">
        <v>1</v>
      </c>
      <c r="E28">
        <f t="shared" si="0"/>
        <v>0.25</v>
      </c>
      <c r="F28">
        <f t="shared" si="1"/>
        <v>0.000979431929480901</v>
      </c>
      <c r="G28">
        <f t="shared" si="2"/>
        <v>7.90373953049428e-5</v>
      </c>
      <c r="H28">
        <f t="shared" si="3"/>
        <v>0.105846932478584</v>
      </c>
      <c r="I28">
        <f t="shared" si="4"/>
        <v>2.64617331196461</v>
      </c>
      <c r="M28">
        <f t="shared" si="5"/>
        <v>-0.00678603116372641</v>
      </c>
      <c r="P28">
        <f t="shared" si="6"/>
        <v>9.59286904486681e-7</v>
      </c>
    </row>
    <row r="29" spans="13:16">
      <c r="M29" s="6">
        <v>1.947</v>
      </c>
      <c r="N29" s="6">
        <f>26/LN(1021)</f>
        <v>3.75259552337801</v>
      </c>
      <c r="O29" s="6">
        <f>1.947/LN(27)</f>
        <v>0.590745258080817</v>
      </c>
      <c r="P29" s="6">
        <f>1-0.2192</f>
        <v>0.7808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workbookViewId="0">
      <selection activeCell="A2" sqref="A2:A43"/>
    </sheetView>
  </sheetViews>
  <sheetFormatPr defaultColWidth="8.89166666666667" defaultRowHeight="13.5"/>
  <cols>
    <col min="3" max="3" width="9.66666666666667"/>
    <col min="5" max="6" width="12.8916666666667"/>
    <col min="7" max="7" width="26" customWidth="1"/>
    <col min="8" max="8" width="12.6666666666667" customWidth="1"/>
    <col min="9" max="9" width="12.8916666666667"/>
    <col min="12" max="12" width="11.775"/>
    <col min="13" max="13" width="12.8916666666667"/>
    <col min="14" max="14" width="14.1083333333333"/>
  </cols>
  <sheetData>
    <row r="1" ht="17.25" spans="1:13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L1" s="3" t="s">
        <v>9</v>
      </c>
      <c r="M1" t="s">
        <v>10</v>
      </c>
    </row>
    <row r="2" ht="17.25" spans="1:14">
      <c r="A2" s="13" t="s">
        <v>15</v>
      </c>
      <c r="B2">
        <v>85</v>
      </c>
      <c r="C2">
        <v>110.5</v>
      </c>
      <c r="D2">
        <v>7</v>
      </c>
      <c r="E2">
        <f>D2/15</f>
        <v>0.466666666666667</v>
      </c>
      <c r="F2">
        <f>B2/6643</f>
        <v>0.0127954237543279</v>
      </c>
      <c r="G2">
        <f>C2/184682</f>
        <v>0.000598325770784375</v>
      </c>
      <c r="H2">
        <f>(F2+G2)*100</f>
        <v>1.33937495251122</v>
      </c>
      <c r="I2">
        <f>H2*E2*100</f>
        <v>62.5041644505238</v>
      </c>
      <c r="L2">
        <v>6643</v>
      </c>
      <c r="M2">
        <v>184682</v>
      </c>
      <c r="N2">
        <f>F2/LN(F2)</f>
        <v>-0.00293562727441576</v>
      </c>
    </row>
    <row r="3" ht="17.25" spans="1:9">
      <c r="A3" s="13" t="s">
        <v>16</v>
      </c>
      <c r="B3">
        <v>0</v>
      </c>
      <c r="C3">
        <v>0</v>
      </c>
      <c r="D3">
        <v>0</v>
      </c>
      <c r="E3">
        <f t="shared" ref="E3:E43" si="0">D3/15</f>
        <v>0</v>
      </c>
      <c r="F3">
        <f t="shared" ref="F3:F43" si="1">B3/6643</f>
        <v>0</v>
      </c>
      <c r="G3">
        <f t="shared" ref="G3:G43" si="2">C3/184682</f>
        <v>0</v>
      </c>
      <c r="H3">
        <f t="shared" ref="H3:H43" si="3">(F3+G3)*100</f>
        <v>0</v>
      </c>
      <c r="I3">
        <f t="shared" ref="I3:I43" si="4">H3*E3*100</f>
        <v>0</v>
      </c>
    </row>
    <row r="4" ht="17.25" spans="1:14">
      <c r="A4" s="13" t="s">
        <v>17</v>
      </c>
      <c r="B4">
        <v>2</v>
      </c>
      <c r="C4">
        <v>2.64</v>
      </c>
      <c r="D4">
        <v>1</v>
      </c>
      <c r="E4">
        <f t="shared" si="0"/>
        <v>0.0666666666666667</v>
      </c>
      <c r="F4">
        <f t="shared" si="1"/>
        <v>0.000301068794219479</v>
      </c>
      <c r="G4">
        <f t="shared" si="2"/>
        <v>1.42948419445317e-5</v>
      </c>
      <c r="H4">
        <f t="shared" si="3"/>
        <v>0.0315363636164011</v>
      </c>
      <c r="I4">
        <f t="shared" si="4"/>
        <v>0.210242424109341</v>
      </c>
      <c r="N4">
        <f t="shared" ref="N3:N43" si="5">F4/LN(F4)</f>
        <v>-3.71315264238616e-5</v>
      </c>
    </row>
    <row r="5" ht="17.25" spans="1:14">
      <c r="A5" s="13" t="s">
        <v>18</v>
      </c>
      <c r="B5">
        <v>1</v>
      </c>
      <c r="C5">
        <v>1.24</v>
      </c>
      <c r="D5">
        <v>1</v>
      </c>
      <c r="E5">
        <f t="shared" si="0"/>
        <v>0.0666666666666667</v>
      </c>
      <c r="F5">
        <f t="shared" si="1"/>
        <v>0.00015053439710974</v>
      </c>
      <c r="G5">
        <f t="shared" si="2"/>
        <v>6.71424394364367e-6</v>
      </c>
      <c r="H5">
        <f t="shared" si="3"/>
        <v>0.0157248641053383</v>
      </c>
      <c r="I5">
        <f t="shared" si="4"/>
        <v>0.104832427368922</v>
      </c>
      <c r="N5">
        <f t="shared" si="5"/>
        <v>-1.71036179923547e-5</v>
      </c>
    </row>
    <row r="6" ht="17.25" spans="1:14">
      <c r="A6" s="13" t="s">
        <v>19</v>
      </c>
      <c r="B6">
        <v>3</v>
      </c>
      <c r="C6">
        <v>3.21</v>
      </c>
      <c r="D6">
        <v>3</v>
      </c>
      <c r="E6">
        <f t="shared" si="0"/>
        <v>0.2</v>
      </c>
      <c r="F6">
        <f t="shared" si="1"/>
        <v>0.000451603191329219</v>
      </c>
      <c r="G6">
        <f t="shared" si="2"/>
        <v>1.73812282734647e-5</v>
      </c>
      <c r="H6">
        <f t="shared" si="3"/>
        <v>0.0468984419602683</v>
      </c>
      <c r="I6">
        <f t="shared" si="4"/>
        <v>0.937968839205367</v>
      </c>
      <c r="N6">
        <f t="shared" si="5"/>
        <v>-5.86291561293879e-5</v>
      </c>
    </row>
    <row r="7" ht="17.25" spans="1:14">
      <c r="A7" s="13" t="s">
        <v>20</v>
      </c>
      <c r="B7">
        <v>101</v>
      </c>
      <c r="C7">
        <v>1572.4</v>
      </c>
      <c r="D7">
        <v>5</v>
      </c>
      <c r="E7">
        <f t="shared" si="0"/>
        <v>0.333333333333333</v>
      </c>
      <c r="F7">
        <f t="shared" si="1"/>
        <v>0.0152039741080837</v>
      </c>
      <c r="G7">
        <f t="shared" si="2"/>
        <v>0.0085140944975688</v>
      </c>
      <c r="H7">
        <f t="shared" si="3"/>
        <v>2.37180686056525</v>
      </c>
      <c r="I7">
        <f t="shared" si="4"/>
        <v>79.0602286855082</v>
      </c>
      <c r="N7">
        <f t="shared" si="5"/>
        <v>-0.00363192867211769</v>
      </c>
    </row>
    <row r="8" ht="17.25" spans="1:14">
      <c r="A8" s="13" t="s">
        <v>21</v>
      </c>
      <c r="B8">
        <v>4</v>
      </c>
      <c r="C8">
        <v>19343.17</v>
      </c>
      <c r="D8">
        <v>3</v>
      </c>
      <c r="E8">
        <f t="shared" si="0"/>
        <v>0.2</v>
      </c>
      <c r="F8">
        <f t="shared" si="1"/>
        <v>0.000602137588438958</v>
      </c>
      <c r="G8">
        <f t="shared" si="2"/>
        <v>0.104737711309169</v>
      </c>
      <c r="H8">
        <f t="shared" si="3"/>
        <v>10.5339848897608</v>
      </c>
      <c r="I8">
        <f t="shared" si="4"/>
        <v>210.679697795216</v>
      </c>
      <c r="N8">
        <f t="shared" si="5"/>
        <v>-8.1205069708271e-5</v>
      </c>
    </row>
    <row r="9" ht="17.25" spans="1:14">
      <c r="A9" s="13" t="s">
        <v>22</v>
      </c>
      <c r="B9">
        <v>7</v>
      </c>
      <c r="C9">
        <v>24.39</v>
      </c>
      <c r="D9">
        <v>3</v>
      </c>
      <c r="E9">
        <f t="shared" si="0"/>
        <v>0.2</v>
      </c>
      <c r="F9">
        <f t="shared" si="1"/>
        <v>0.00105374077976818</v>
      </c>
      <c r="G9">
        <f t="shared" si="2"/>
        <v>0.000132064846601185</v>
      </c>
      <c r="H9">
        <f t="shared" si="3"/>
        <v>0.118580562636936</v>
      </c>
      <c r="I9">
        <f t="shared" si="4"/>
        <v>2.37161125273872</v>
      </c>
      <c r="N9">
        <f t="shared" si="5"/>
        <v>-0.000153709400959698</v>
      </c>
    </row>
    <row r="10" ht="17.25" spans="1:14">
      <c r="A10" s="13" t="s">
        <v>23</v>
      </c>
      <c r="B10">
        <v>1</v>
      </c>
      <c r="C10">
        <v>390.25</v>
      </c>
      <c r="D10">
        <v>1</v>
      </c>
      <c r="E10">
        <f t="shared" si="0"/>
        <v>0.0666666666666667</v>
      </c>
      <c r="F10">
        <f t="shared" si="1"/>
        <v>0.00015053439710974</v>
      </c>
      <c r="G10">
        <f t="shared" si="2"/>
        <v>0.00211309169274753</v>
      </c>
      <c r="H10">
        <f t="shared" si="3"/>
        <v>0.226362608985727</v>
      </c>
      <c r="I10">
        <f t="shared" si="4"/>
        <v>1.50908405990485</v>
      </c>
      <c r="N10">
        <f t="shared" si="5"/>
        <v>-1.71036179923547e-5</v>
      </c>
    </row>
    <row r="11" ht="17.25" spans="1:14">
      <c r="A11" s="13" t="s">
        <v>24</v>
      </c>
      <c r="B11">
        <v>3</v>
      </c>
      <c r="C11">
        <v>488.76</v>
      </c>
      <c r="D11">
        <v>2</v>
      </c>
      <c r="E11">
        <f t="shared" si="0"/>
        <v>0.133333333333333</v>
      </c>
      <c r="F11">
        <f t="shared" si="1"/>
        <v>0.000451603191329219</v>
      </c>
      <c r="G11">
        <f t="shared" si="2"/>
        <v>0.00264649505636716</v>
      </c>
      <c r="H11">
        <f t="shared" si="3"/>
        <v>0.309809824769638</v>
      </c>
      <c r="I11">
        <f t="shared" si="4"/>
        <v>4.13079766359516</v>
      </c>
      <c r="N11">
        <f t="shared" si="5"/>
        <v>-5.86291561293879e-5</v>
      </c>
    </row>
    <row r="12" ht="17.25" spans="1:14">
      <c r="A12" s="13" t="s">
        <v>25</v>
      </c>
      <c r="B12">
        <v>2</v>
      </c>
      <c r="C12">
        <v>3.43</v>
      </c>
      <c r="D12">
        <v>1</v>
      </c>
      <c r="E12">
        <f t="shared" si="0"/>
        <v>0.0666666666666667</v>
      </c>
      <c r="F12">
        <f t="shared" si="1"/>
        <v>0.000301068794219479</v>
      </c>
      <c r="G12">
        <f t="shared" si="2"/>
        <v>1.85724651021756e-5</v>
      </c>
      <c r="H12">
        <f t="shared" si="3"/>
        <v>0.0319641259321655</v>
      </c>
      <c r="I12">
        <f t="shared" si="4"/>
        <v>0.213094172881103</v>
      </c>
      <c r="N12">
        <f t="shared" si="5"/>
        <v>-3.71315264238616e-5</v>
      </c>
    </row>
    <row r="13" ht="17.25" spans="1:14">
      <c r="A13" s="13" t="s">
        <v>26</v>
      </c>
      <c r="B13">
        <v>482</v>
      </c>
      <c r="C13">
        <v>541.66</v>
      </c>
      <c r="D13">
        <v>7</v>
      </c>
      <c r="E13">
        <f t="shared" si="0"/>
        <v>0.466666666666667</v>
      </c>
      <c r="F13">
        <f t="shared" si="1"/>
        <v>0.0725575794068945</v>
      </c>
      <c r="G13">
        <f t="shared" si="2"/>
        <v>0.00293293336654357</v>
      </c>
      <c r="H13">
        <f t="shared" si="3"/>
        <v>7.5490512773438</v>
      </c>
      <c r="I13">
        <f t="shared" si="4"/>
        <v>352.289059609378</v>
      </c>
      <c r="N13">
        <f t="shared" si="5"/>
        <v>-0.0276581060690135</v>
      </c>
    </row>
    <row r="14" ht="17.25" spans="1:14">
      <c r="A14" s="13" t="s">
        <v>27</v>
      </c>
      <c r="B14">
        <v>1</v>
      </c>
      <c r="C14">
        <v>112.93</v>
      </c>
      <c r="D14">
        <v>1</v>
      </c>
      <c r="E14">
        <f t="shared" si="0"/>
        <v>0.0666666666666667</v>
      </c>
      <c r="F14">
        <f t="shared" si="1"/>
        <v>0.00015053439710974</v>
      </c>
      <c r="G14">
        <f t="shared" si="2"/>
        <v>0.000611483523028774</v>
      </c>
      <c r="H14">
        <f t="shared" si="3"/>
        <v>0.0762017920138514</v>
      </c>
      <c r="I14">
        <f t="shared" si="4"/>
        <v>0.508011946759009</v>
      </c>
      <c r="N14">
        <f t="shared" si="5"/>
        <v>-1.71036179923547e-5</v>
      </c>
    </row>
    <row r="15" ht="17.25" spans="1:14">
      <c r="A15" s="13" t="s">
        <v>28</v>
      </c>
      <c r="B15">
        <v>20</v>
      </c>
      <c r="C15">
        <v>1261.35</v>
      </c>
      <c r="D15">
        <v>3</v>
      </c>
      <c r="E15">
        <f t="shared" si="0"/>
        <v>0.2</v>
      </c>
      <c r="F15">
        <f t="shared" si="1"/>
        <v>0.00301068794219479</v>
      </c>
      <c r="G15">
        <f t="shared" si="2"/>
        <v>0.00682984806315721</v>
      </c>
      <c r="H15">
        <f t="shared" si="3"/>
        <v>0.9840536005352</v>
      </c>
      <c r="I15">
        <f t="shared" si="4"/>
        <v>19.681072010704</v>
      </c>
      <c r="N15">
        <f t="shared" si="5"/>
        <v>-0.000518584617058651</v>
      </c>
    </row>
    <row r="16" ht="17.25" spans="1:14">
      <c r="A16" s="13" t="s">
        <v>29</v>
      </c>
      <c r="B16">
        <v>11</v>
      </c>
      <c r="C16">
        <v>864.5</v>
      </c>
      <c r="D16">
        <v>2</v>
      </c>
      <c r="E16">
        <f t="shared" si="0"/>
        <v>0.133333333333333</v>
      </c>
      <c r="F16">
        <f t="shared" si="1"/>
        <v>0.00165587836820714</v>
      </c>
      <c r="G16">
        <f t="shared" si="2"/>
        <v>0.00468101926554835</v>
      </c>
      <c r="H16">
        <f t="shared" si="3"/>
        <v>0.633689763375548</v>
      </c>
      <c r="I16">
        <f t="shared" si="4"/>
        <v>8.44919684500729</v>
      </c>
      <c r="N16">
        <f t="shared" si="5"/>
        <v>-0.000258592661095716</v>
      </c>
    </row>
    <row r="17" ht="17.25" spans="1:14">
      <c r="A17" s="13" t="s">
        <v>30</v>
      </c>
      <c r="B17">
        <v>5</v>
      </c>
      <c r="C17">
        <v>159.2</v>
      </c>
      <c r="D17">
        <v>5</v>
      </c>
      <c r="E17">
        <f t="shared" si="0"/>
        <v>0.333333333333333</v>
      </c>
      <c r="F17">
        <f t="shared" si="1"/>
        <v>0.000752671985548698</v>
      </c>
      <c r="G17">
        <f t="shared" si="2"/>
        <v>0.000862022286958123</v>
      </c>
      <c r="H17">
        <f t="shared" si="3"/>
        <v>0.161469427250682</v>
      </c>
      <c r="I17">
        <f t="shared" si="4"/>
        <v>5.3823142416894</v>
      </c>
      <c r="N17">
        <f t="shared" si="5"/>
        <v>-0.000104655789196395</v>
      </c>
    </row>
    <row r="18" s="7" customFormat="1" ht="17.25" spans="1:14">
      <c r="A18" s="13" t="s">
        <v>31</v>
      </c>
      <c r="B18" s="7">
        <v>1141</v>
      </c>
      <c r="C18" s="7">
        <v>3797.4</v>
      </c>
      <c r="D18" s="7">
        <v>12</v>
      </c>
      <c r="E18" s="7">
        <f t="shared" si="0"/>
        <v>0.8</v>
      </c>
      <c r="F18" s="7">
        <f t="shared" si="1"/>
        <v>0.171759747102213</v>
      </c>
      <c r="G18" s="7">
        <f t="shared" si="2"/>
        <v>0.020561830606123</v>
      </c>
      <c r="H18" s="7">
        <f t="shared" si="3"/>
        <v>19.2321577708336</v>
      </c>
      <c r="I18" s="7">
        <f t="shared" si="4"/>
        <v>1538.57262166669</v>
      </c>
      <c r="J18" s="3" t="s">
        <v>32</v>
      </c>
      <c r="N18">
        <f t="shared" si="5"/>
        <v>-0.0974988839020238</v>
      </c>
    </row>
    <row r="19" ht="17.25" spans="1:14">
      <c r="A19" s="13" t="s">
        <v>33</v>
      </c>
      <c r="B19">
        <v>132</v>
      </c>
      <c r="C19">
        <v>3374.54</v>
      </c>
      <c r="D19">
        <v>8</v>
      </c>
      <c r="E19">
        <f t="shared" si="0"/>
        <v>0.533333333333333</v>
      </c>
      <c r="F19">
        <f t="shared" si="1"/>
        <v>0.0198705404184856</v>
      </c>
      <c r="G19">
        <f t="shared" si="2"/>
        <v>0.0182721651270833</v>
      </c>
      <c r="H19">
        <f t="shared" si="3"/>
        <v>3.81427055455689</v>
      </c>
      <c r="I19">
        <f t="shared" si="4"/>
        <v>203.427762909701</v>
      </c>
      <c r="N19">
        <f t="shared" si="5"/>
        <v>-0.00507093379748316</v>
      </c>
    </row>
    <row r="20" ht="17.25" spans="1:14">
      <c r="A20" s="13" t="s">
        <v>34</v>
      </c>
      <c r="B20">
        <v>64</v>
      </c>
      <c r="C20">
        <v>30.9</v>
      </c>
      <c r="D20">
        <v>7</v>
      </c>
      <c r="E20">
        <f t="shared" si="0"/>
        <v>0.466666666666667</v>
      </c>
      <c r="F20">
        <f t="shared" si="1"/>
        <v>0.00963420141502333</v>
      </c>
      <c r="G20">
        <f t="shared" si="2"/>
        <v>0.000167314627305314</v>
      </c>
      <c r="H20">
        <f t="shared" si="3"/>
        <v>0.980151604232865</v>
      </c>
      <c r="I20">
        <f t="shared" si="4"/>
        <v>45.7404081975337</v>
      </c>
      <c r="N20">
        <f t="shared" si="5"/>
        <v>-0.0020752470678374</v>
      </c>
    </row>
    <row r="21" s="7" customFormat="1" ht="13" customHeight="1" spans="1:14">
      <c r="A21" s="13" t="s">
        <v>35</v>
      </c>
      <c r="B21" s="7">
        <v>801</v>
      </c>
      <c r="C21" s="7">
        <v>26137</v>
      </c>
      <c r="D21" s="7">
        <v>13</v>
      </c>
      <c r="E21" s="7">
        <f t="shared" si="0"/>
        <v>0.866666666666667</v>
      </c>
      <c r="F21" s="7">
        <f t="shared" si="1"/>
        <v>0.120578052084901</v>
      </c>
      <c r="G21" s="7">
        <f t="shared" si="2"/>
        <v>0.141524349963721</v>
      </c>
      <c r="H21" s="7">
        <f t="shared" si="3"/>
        <v>26.2102402048622</v>
      </c>
      <c r="I21" s="7">
        <f t="shared" si="4"/>
        <v>2271.55415108806</v>
      </c>
      <c r="J21" s="3" t="s">
        <v>32</v>
      </c>
      <c r="N21">
        <f t="shared" si="5"/>
        <v>-0.0569985563650425</v>
      </c>
    </row>
    <row r="22" ht="17.25" spans="1:14">
      <c r="A22" s="13" t="s">
        <v>36</v>
      </c>
      <c r="B22">
        <v>1</v>
      </c>
      <c r="C22">
        <v>752.6</v>
      </c>
      <c r="D22">
        <v>1</v>
      </c>
      <c r="E22">
        <f t="shared" si="0"/>
        <v>0.0666666666666667</v>
      </c>
      <c r="F22">
        <f t="shared" si="1"/>
        <v>0.00015053439710974</v>
      </c>
      <c r="G22">
        <f t="shared" si="2"/>
        <v>0.00407511289676308</v>
      </c>
      <c r="H22">
        <f t="shared" si="3"/>
        <v>0.422564729387282</v>
      </c>
      <c r="I22">
        <f t="shared" si="4"/>
        <v>2.81709819591521</v>
      </c>
      <c r="N22">
        <f t="shared" si="5"/>
        <v>-1.71036179923547e-5</v>
      </c>
    </row>
    <row r="23" ht="17.25" spans="1:14">
      <c r="A23" s="13" t="s">
        <v>37</v>
      </c>
      <c r="B23">
        <v>61</v>
      </c>
      <c r="C23">
        <v>19777</v>
      </c>
      <c r="D23">
        <v>10</v>
      </c>
      <c r="E23">
        <f t="shared" si="0"/>
        <v>0.666666666666667</v>
      </c>
      <c r="F23">
        <f t="shared" si="1"/>
        <v>0.00918259822369411</v>
      </c>
      <c r="G23">
        <f t="shared" si="2"/>
        <v>0.107086776188259</v>
      </c>
      <c r="H23">
        <f t="shared" si="3"/>
        <v>11.6269374411953</v>
      </c>
      <c r="I23">
        <f t="shared" si="4"/>
        <v>775.129162746354</v>
      </c>
      <c r="N23">
        <f t="shared" si="5"/>
        <v>-0.00195772427994357</v>
      </c>
    </row>
    <row r="24" s="7" customFormat="1" ht="17.25" spans="1:14">
      <c r="A24" s="13" t="s">
        <v>38</v>
      </c>
      <c r="B24" s="7">
        <v>73</v>
      </c>
      <c r="C24" s="7">
        <v>66818</v>
      </c>
      <c r="D24" s="7">
        <v>10</v>
      </c>
      <c r="E24" s="7">
        <f t="shared" si="0"/>
        <v>0.666666666666667</v>
      </c>
      <c r="F24" s="7">
        <f t="shared" si="1"/>
        <v>0.010989010989011</v>
      </c>
      <c r="G24" s="7">
        <f t="shared" si="2"/>
        <v>0.361800283730954</v>
      </c>
      <c r="H24" s="7">
        <f t="shared" si="3"/>
        <v>37.2789294719965</v>
      </c>
      <c r="I24" s="7">
        <f t="shared" si="4"/>
        <v>2485.26196479977</v>
      </c>
      <c r="J24" s="3" t="s">
        <v>32</v>
      </c>
      <c r="N24">
        <f t="shared" si="5"/>
        <v>-0.00243612353103331</v>
      </c>
    </row>
    <row r="25" ht="17.25" spans="1:14">
      <c r="A25" s="13" t="s">
        <v>39</v>
      </c>
      <c r="B25">
        <v>18</v>
      </c>
      <c r="C25">
        <v>8205.4</v>
      </c>
      <c r="D25">
        <v>2</v>
      </c>
      <c r="E25">
        <f t="shared" si="0"/>
        <v>0.133333333333333</v>
      </c>
      <c r="F25">
        <f t="shared" si="1"/>
        <v>0.00270961914797531</v>
      </c>
      <c r="G25">
        <f t="shared" si="2"/>
        <v>0.0444298848832046</v>
      </c>
      <c r="H25">
        <f t="shared" si="3"/>
        <v>4.71395040311799</v>
      </c>
      <c r="I25">
        <f t="shared" si="4"/>
        <v>62.8526720415731</v>
      </c>
      <c r="N25">
        <f t="shared" si="5"/>
        <v>-0.000458406928870087</v>
      </c>
    </row>
    <row r="26" s="7" customFormat="1" ht="17.25" spans="1:14">
      <c r="A26" s="13" t="s">
        <v>40</v>
      </c>
      <c r="B26" s="7">
        <v>1643</v>
      </c>
      <c r="C26" s="7">
        <v>1658.53</v>
      </c>
      <c r="D26" s="7">
        <v>12</v>
      </c>
      <c r="E26" s="7">
        <f t="shared" si="0"/>
        <v>0.8</v>
      </c>
      <c r="F26" s="7">
        <f t="shared" si="1"/>
        <v>0.247328014451302</v>
      </c>
      <c r="G26" s="7">
        <f t="shared" si="2"/>
        <v>0.00898046371600914</v>
      </c>
      <c r="H26" s="7">
        <f t="shared" si="3"/>
        <v>25.6308478167311</v>
      </c>
      <c r="I26" s="7">
        <f t="shared" si="4"/>
        <v>2050.46782533849</v>
      </c>
      <c r="J26" s="3" t="s">
        <v>32</v>
      </c>
      <c r="N26">
        <f t="shared" si="5"/>
        <v>-0.177037196224509</v>
      </c>
    </row>
    <row r="27" ht="17.25" spans="1:14">
      <c r="A27" s="13" t="s">
        <v>41</v>
      </c>
      <c r="B27">
        <v>5</v>
      </c>
      <c r="C27">
        <v>16.6</v>
      </c>
      <c r="D27">
        <v>4</v>
      </c>
      <c r="E27">
        <f t="shared" si="0"/>
        <v>0.266666666666667</v>
      </c>
      <c r="F27">
        <f t="shared" si="1"/>
        <v>0.000752671985548698</v>
      </c>
      <c r="G27">
        <f t="shared" si="2"/>
        <v>8.98842334391007e-5</v>
      </c>
      <c r="H27">
        <f t="shared" si="3"/>
        <v>0.0842556218987799</v>
      </c>
      <c r="I27">
        <f t="shared" si="4"/>
        <v>2.24681658396747</v>
      </c>
      <c r="N27">
        <f t="shared" si="5"/>
        <v>-0.000104655789196395</v>
      </c>
    </row>
    <row r="28" ht="17.25" spans="1:9">
      <c r="A28" s="13" t="s">
        <v>42</v>
      </c>
      <c r="B28">
        <v>0</v>
      </c>
      <c r="C28">
        <v>0</v>
      </c>
      <c r="D28">
        <v>0</v>
      </c>
      <c r="E28">
        <f t="shared" si="0"/>
        <v>0</v>
      </c>
      <c r="F28">
        <f t="shared" si="1"/>
        <v>0</v>
      </c>
      <c r="G28">
        <f t="shared" si="2"/>
        <v>0</v>
      </c>
      <c r="H28">
        <f t="shared" si="3"/>
        <v>0</v>
      </c>
      <c r="I28">
        <f t="shared" si="4"/>
        <v>0</v>
      </c>
    </row>
    <row r="29" ht="17.25" spans="1:9">
      <c r="A29" s="13" t="s">
        <v>43</v>
      </c>
      <c r="B29">
        <v>0</v>
      </c>
      <c r="C29">
        <v>0</v>
      </c>
      <c r="D29">
        <v>0</v>
      </c>
      <c r="E29">
        <f t="shared" si="0"/>
        <v>0</v>
      </c>
      <c r="F29">
        <f t="shared" si="1"/>
        <v>0</v>
      </c>
      <c r="G29">
        <f t="shared" si="2"/>
        <v>0</v>
      </c>
      <c r="H29">
        <f t="shared" si="3"/>
        <v>0</v>
      </c>
      <c r="I29">
        <f t="shared" si="4"/>
        <v>0</v>
      </c>
    </row>
    <row r="30" ht="17.25" spans="1:14">
      <c r="A30" s="13" t="s">
        <v>44</v>
      </c>
      <c r="B30">
        <v>30</v>
      </c>
      <c r="C30">
        <v>21325.97</v>
      </c>
      <c r="D30">
        <v>6</v>
      </c>
      <c r="E30">
        <f t="shared" si="0"/>
        <v>0.4</v>
      </c>
      <c r="F30">
        <f t="shared" si="1"/>
        <v>0.00451603191329219</v>
      </c>
      <c r="G30">
        <f t="shared" si="2"/>
        <v>0.11547400396357</v>
      </c>
      <c r="H30">
        <f t="shared" si="3"/>
        <v>11.9990035876862</v>
      </c>
      <c r="I30">
        <f t="shared" si="4"/>
        <v>479.960143507449</v>
      </c>
      <c r="N30">
        <f t="shared" si="5"/>
        <v>-0.00083628337956746</v>
      </c>
    </row>
    <row r="31" ht="17.25" spans="1:14">
      <c r="A31" s="13" t="s">
        <v>45</v>
      </c>
      <c r="B31">
        <v>5</v>
      </c>
      <c r="C31">
        <v>1.82</v>
      </c>
      <c r="D31">
        <v>3</v>
      </c>
      <c r="E31">
        <f t="shared" si="0"/>
        <v>0.2</v>
      </c>
      <c r="F31">
        <f t="shared" si="1"/>
        <v>0.000752671985548698</v>
      </c>
      <c r="G31">
        <f t="shared" si="2"/>
        <v>9.85477740115442e-6</v>
      </c>
      <c r="H31">
        <f t="shared" si="3"/>
        <v>0.0762526762949852</v>
      </c>
      <c r="I31">
        <f t="shared" si="4"/>
        <v>1.5250535258997</v>
      </c>
      <c r="N31">
        <f t="shared" si="5"/>
        <v>-0.000104655789196395</v>
      </c>
    </row>
    <row r="32" ht="17.25" spans="1:14">
      <c r="A32" s="13" t="s">
        <v>46</v>
      </c>
      <c r="B32">
        <v>7</v>
      </c>
      <c r="C32">
        <v>6.4</v>
      </c>
      <c r="D32">
        <v>2</v>
      </c>
      <c r="E32">
        <f t="shared" si="0"/>
        <v>0.133333333333333</v>
      </c>
      <c r="F32">
        <f t="shared" si="1"/>
        <v>0.00105374077976818</v>
      </c>
      <c r="G32">
        <f t="shared" si="2"/>
        <v>3.46541622897738e-5</v>
      </c>
      <c r="H32">
        <f t="shared" si="3"/>
        <v>0.108839494205795</v>
      </c>
      <c r="I32">
        <f t="shared" si="4"/>
        <v>1.45119325607726</v>
      </c>
      <c r="N32">
        <f t="shared" si="5"/>
        <v>-0.000153709400959698</v>
      </c>
    </row>
    <row r="33" ht="17.25" spans="1:9">
      <c r="A33" s="13" t="s">
        <v>47</v>
      </c>
      <c r="B33">
        <v>0</v>
      </c>
      <c r="C33">
        <v>0</v>
      </c>
      <c r="D33">
        <v>0</v>
      </c>
      <c r="E33">
        <f t="shared" si="0"/>
        <v>0</v>
      </c>
      <c r="F33">
        <f t="shared" si="1"/>
        <v>0</v>
      </c>
      <c r="G33">
        <f t="shared" si="2"/>
        <v>0</v>
      </c>
      <c r="H33">
        <f t="shared" si="3"/>
        <v>0</v>
      </c>
      <c r="I33">
        <f t="shared" si="4"/>
        <v>0</v>
      </c>
    </row>
    <row r="34" ht="17.25" spans="1:9">
      <c r="A34" s="13" t="s">
        <v>48</v>
      </c>
      <c r="B34">
        <v>0</v>
      </c>
      <c r="C34">
        <v>0</v>
      </c>
      <c r="D34">
        <v>0</v>
      </c>
      <c r="E34">
        <f t="shared" si="0"/>
        <v>0</v>
      </c>
      <c r="F34">
        <f t="shared" si="1"/>
        <v>0</v>
      </c>
      <c r="G34">
        <f t="shared" si="2"/>
        <v>0</v>
      </c>
      <c r="H34">
        <f t="shared" si="3"/>
        <v>0</v>
      </c>
      <c r="I34">
        <f t="shared" si="4"/>
        <v>0</v>
      </c>
    </row>
    <row r="35" ht="17.25" spans="1:14">
      <c r="A35" s="13" t="s">
        <v>49</v>
      </c>
      <c r="B35">
        <v>1</v>
      </c>
      <c r="C35">
        <v>648.39</v>
      </c>
      <c r="D35">
        <v>1</v>
      </c>
      <c r="E35">
        <f t="shared" si="0"/>
        <v>0.0666666666666667</v>
      </c>
      <c r="F35">
        <f t="shared" si="1"/>
        <v>0.00015053439710974</v>
      </c>
      <c r="G35">
        <f t="shared" si="2"/>
        <v>0.00351084566985413</v>
      </c>
      <c r="H35">
        <f t="shared" si="3"/>
        <v>0.366138006696387</v>
      </c>
      <c r="I35">
        <f t="shared" si="4"/>
        <v>2.44092004464258</v>
      </c>
      <c r="N35">
        <f t="shared" si="5"/>
        <v>-1.71036179923547e-5</v>
      </c>
    </row>
    <row r="36" ht="17.25" spans="1:14">
      <c r="A36" s="13" t="s">
        <v>50</v>
      </c>
      <c r="B36">
        <v>1</v>
      </c>
      <c r="C36">
        <v>1268</v>
      </c>
      <c r="D36">
        <v>1</v>
      </c>
      <c r="E36">
        <f t="shared" si="0"/>
        <v>0.0666666666666667</v>
      </c>
      <c r="F36">
        <f t="shared" si="1"/>
        <v>0.00015053439710974</v>
      </c>
      <c r="G36">
        <f t="shared" si="2"/>
        <v>0.00686585590366143</v>
      </c>
      <c r="H36">
        <f t="shared" si="3"/>
        <v>0.701639030077117</v>
      </c>
      <c r="I36">
        <f t="shared" si="4"/>
        <v>4.67759353384745</v>
      </c>
      <c r="N36">
        <f t="shared" si="5"/>
        <v>-1.71036179923547e-5</v>
      </c>
    </row>
    <row r="37" ht="17.25" spans="1:9">
      <c r="A37" s="13" t="s">
        <v>51</v>
      </c>
      <c r="B37">
        <v>0</v>
      </c>
      <c r="C37">
        <v>0</v>
      </c>
      <c r="D37">
        <v>0</v>
      </c>
      <c r="E37">
        <f t="shared" si="0"/>
        <v>0</v>
      </c>
      <c r="F37">
        <f t="shared" si="1"/>
        <v>0</v>
      </c>
      <c r="G37">
        <f t="shared" si="2"/>
        <v>0</v>
      </c>
      <c r="H37">
        <f t="shared" si="3"/>
        <v>0</v>
      </c>
      <c r="I37">
        <f t="shared" si="4"/>
        <v>0</v>
      </c>
    </row>
    <row r="38" ht="17.25" spans="1:14">
      <c r="A38" s="13" t="s">
        <v>52</v>
      </c>
      <c r="B38">
        <v>1</v>
      </c>
      <c r="C38">
        <v>1285</v>
      </c>
      <c r="D38">
        <v>1</v>
      </c>
      <c r="E38">
        <f t="shared" si="0"/>
        <v>0.0666666666666667</v>
      </c>
      <c r="F38">
        <f t="shared" si="1"/>
        <v>0.00015053439710974</v>
      </c>
      <c r="G38">
        <f t="shared" si="2"/>
        <v>0.00695790602224364</v>
      </c>
      <c r="H38">
        <f t="shared" si="3"/>
        <v>0.710844041935338</v>
      </c>
      <c r="I38">
        <f t="shared" si="4"/>
        <v>4.73896027956892</v>
      </c>
      <c r="N38">
        <f t="shared" si="5"/>
        <v>-1.71036179923547e-5</v>
      </c>
    </row>
    <row r="39" s="7" customFormat="1" ht="17.25" spans="1:14">
      <c r="A39" s="13" t="s">
        <v>53</v>
      </c>
      <c r="B39" s="7">
        <v>1472</v>
      </c>
      <c r="C39" s="7">
        <v>3156.61</v>
      </c>
      <c r="D39" s="7">
        <v>7</v>
      </c>
      <c r="E39" s="7">
        <f t="shared" si="0"/>
        <v>0.466666666666667</v>
      </c>
      <c r="F39" s="7">
        <f t="shared" si="1"/>
        <v>0.221586632545537</v>
      </c>
      <c r="G39" s="7">
        <f t="shared" si="2"/>
        <v>0.0170921367539879</v>
      </c>
      <c r="H39" s="7">
        <f t="shared" si="3"/>
        <v>23.8678769299525</v>
      </c>
      <c r="I39" s="7">
        <f t="shared" si="4"/>
        <v>1113.83425673112</v>
      </c>
      <c r="J39" s="7" t="s">
        <v>54</v>
      </c>
      <c r="N39">
        <f t="shared" si="5"/>
        <v>-0.1470439368268</v>
      </c>
    </row>
    <row r="40" ht="17.25" spans="1:14">
      <c r="A40" s="13" t="s">
        <v>55</v>
      </c>
      <c r="B40">
        <v>1</v>
      </c>
      <c r="C40">
        <v>1219.08</v>
      </c>
      <c r="D40">
        <v>1</v>
      </c>
      <c r="E40">
        <f t="shared" si="0"/>
        <v>0.0666666666666667</v>
      </c>
      <c r="F40">
        <f t="shared" si="1"/>
        <v>0.00015053439710974</v>
      </c>
      <c r="G40">
        <f t="shared" si="2"/>
        <v>0.00660096815065897</v>
      </c>
      <c r="H40">
        <f t="shared" si="3"/>
        <v>0.675150254776871</v>
      </c>
      <c r="I40">
        <f t="shared" si="4"/>
        <v>4.50100169851248</v>
      </c>
      <c r="N40">
        <f t="shared" si="5"/>
        <v>-1.71036179923547e-5</v>
      </c>
    </row>
    <row r="41" ht="17.25" spans="1:14">
      <c r="A41" s="13" t="s">
        <v>56</v>
      </c>
      <c r="B41">
        <v>408</v>
      </c>
      <c r="C41">
        <v>283.75</v>
      </c>
      <c r="D41">
        <v>7</v>
      </c>
      <c r="E41">
        <f t="shared" si="0"/>
        <v>0.466666666666667</v>
      </c>
      <c r="F41">
        <f t="shared" si="1"/>
        <v>0.0614180340207737</v>
      </c>
      <c r="G41">
        <f t="shared" si="2"/>
        <v>0.00153642477339427</v>
      </c>
      <c r="H41">
        <f t="shared" si="3"/>
        <v>6.2954458794168</v>
      </c>
      <c r="I41">
        <f t="shared" si="4"/>
        <v>293.787474372784</v>
      </c>
      <c r="N41">
        <f t="shared" si="5"/>
        <v>-0.0220132237721836</v>
      </c>
    </row>
    <row r="42" ht="17.25" spans="1:14">
      <c r="A42" s="13" t="s">
        <v>57</v>
      </c>
      <c r="B42">
        <v>49</v>
      </c>
      <c r="C42">
        <v>38.43</v>
      </c>
      <c r="D42">
        <v>8</v>
      </c>
      <c r="E42">
        <f t="shared" si="0"/>
        <v>0.533333333333333</v>
      </c>
      <c r="F42">
        <f t="shared" si="1"/>
        <v>0.00737618545837724</v>
      </c>
      <c r="G42">
        <f t="shared" si="2"/>
        <v>0.000208087415124376</v>
      </c>
      <c r="H42">
        <f t="shared" si="3"/>
        <v>0.758427287350162</v>
      </c>
      <c r="I42">
        <f t="shared" si="4"/>
        <v>40.4494553253419</v>
      </c>
      <c r="N42">
        <f t="shared" si="5"/>
        <v>-0.00150243150775617</v>
      </c>
    </row>
    <row r="43" ht="17.25" spans="1:14">
      <c r="A43" s="13" t="s">
        <v>58</v>
      </c>
      <c r="B43">
        <v>1</v>
      </c>
      <c r="C43">
        <v>1.34</v>
      </c>
      <c r="D43">
        <v>1</v>
      </c>
      <c r="E43">
        <f t="shared" si="0"/>
        <v>0.0666666666666667</v>
      </c>
      <c r="F43">
        <f t="shared" si="1"/>
        <v>0.00015053439710974</v>
      </c>
      <c r="G43">
        <f t="shared" si="2"/>
        <v>7.25571522942138e-6</v>
      </c>
      <c r="H43">
        <f t="shared" si="3"/>
        <v>0.0157790112339161</v>
      </c>
      <c r="I43">
        <f t="shared" si="4"/>
        <v>0.105193408226107</v>
      </c>
      <c r="N43">
        <f t="shared" si="5"/>
        <v>-1.71036179923547e-5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M38" sqref="M38"/>
    </sheetView>
  </sheetViews>
  <sheetFormatPr defaultColWidth="8.89166666666667" defaultRowHeight="13.5" outlineLevelCol="4"/>
  <cols>
    <col min="3" max="4" width="14.3333333333333"/>
  </cols>
  <sheetData>
    <row r="1" spans="2:5">
      <c r="B1" t="s">
        <v>11</v>
      </c>
      <c r="C1" t="s">
        <v>12</v>
      </c>
      <c r="D1" t="s">
        <v>13</v>
      </c>
      <c r="E1" t="s">
        <v>14</v>
      </c>
    </row>
    <row r="2" spans="1:5">
      <c r="A2" t="s">
        <v>66</v>
      </c>
      <c r="B2" s="1">
        <v>1.189</v>
      </c>
      <c r="C2" s="1">
        <f>13/LN(131)</f>
        <v>2.66655873355787</v>
      </c>
      <c r="D2" s="1">
        <f>1.189/LN(14)</f>
        <v>0.450539663029352</v>
      </c>
      <c r="E2" s="1">
        <f>1-0.5464</f>
        <v>0.4536</v>
      </c>
    </row>
    <row r="3" spans="1:5">
      <c r="A3" t="s">
        <v>67</v>
      </c>
      <c r="B3" s="1">
        <v>1.44</v>
      </c>
      <c r="C3" s="1">
        <f>12/LN(293)</f>
        <v>2.11261185636339</v>
      </c>
      <c r="D3" s="1">
        <f>1.44/LN(13)</f>
        <v>0.561414593161843</v>
      </c>
      <c r="E3" s="1">
        <f>1-0.4094</f>
        <v>0.5906</v>
      </c>
    </row>
    <row r="4" spans="1:5">
      <c r="A4" t="s">
        <v>68</v>
      </c>
      <c r="B4" s="1">
        <v>2.169</v>
      </c>
      <c r="C4" s="1">
        <f>18/LN(549)</f>
        <v>2.85347480970709</v>
      </c>
      <c r="D4" s="1">
        <f>2.169/LN(19)</f>
        <v>0.736642876740491</v>
      </c>
      <c r="E4" s="1">
        <f>1-0.1562</f>
        <v>0.8438</v>
      </c>
    </row>
    <row r="5" spans="1:5">
      <c r="A5" t="s">
        <v>69</v>
      </c>
      <c r="B5" s="1">
        <v>1.543</v>
      </c>
      <c r="C5" s="1">
        <f>18/LN(1315)</f>
        <v>2.50640806924499</v>
      </c>
      <c r="D5" s="1">
        <f>1.543/LN(19)</f>
        <v>0.524038708534153</v>
      </c>
      <c r="E5" s="1">
        <f>1-0.38</f>
        <v>0.62</v>
      </c>
    </row>
    <row r="6" spans="1:5">
      <c r="A6" t="s">
        <v>70</v>
      </c>
      <c r="B6" s="1">
        <v>1.644</v>
      </c>
      <c r="C6" s="1">
        <f>21/LN(491)</f>
        <v>3.38904048304143</v>
      </c>
      <c r="D6" s="1">
        <f>1.644/LN(22)</f>
        <v>0.531859404976418</v>
      </c>
      <c r="E6" s="1">
        <f>1-0.3583</f>
        <v>0.6417</v>
      </c>
    </row>
    <row r="7" spans="1:5">
      <c r="A7" t="s">
        <v>71</v>
      </c>
      <c r="B7" s="2">
        <v>1.49</v>
      </c>
      <c r="C7" s="1">
        <f>14/LN(688)</f>
        <v>2.14270775307582</v>
      </c>
      <c r="D7" s="1">
        <f>1.49/LN(15)</f>
        <v>0.550211365872594</v>
      </c>
      <c r="E7" s="1">
        <f>1-0.3322</f>
        <v>0.6678</v>
      </c>
    </row>
    <row r="8" spans="1:5">
      <c r="A8" t="s">
        <v>72</v>
      </c>
      <c r="B8" s="1">
        <v>1.76</v>
      </c>
      <c r="C8" s="1">
        <f>21/LN(1172)</f>
        <v>2.97178209262796</v>
      </c>
      <c r="D8" s="1">
        <f>1.76/LN(22)</f>
        <v>0.569387197541664</v>
      </c>
      <c r="E8" s="1">
        <f>1-0.2571</f>
        <v>0.7429</v>
      </c>
    </row>
    <row r="9" spans="1:5">
      <c r="A9" t="s">
        <v>73</v>
      </c>
      <c r="B9" s="1">
        <v>1.738</v>
      </c>
      <c r="C9" s="1">
        <f>22/LN(1269)</f>
        <v>3.07865208767192</v>
      </c>
      <c r="D9" s="1">
        <f>1.738/LN(23)</f>
        <v>0.554298582714806</v>
      </c>
      <c r="E9" s="1">
        <f>1-0.2805</f>
        <v>0.7195</v>
      </c>
    </row>
    <row r="10" spans="1:5">
      <c r="A10" t="s">
        <v>74</v>
      </c>
      <c r="B10" s="1">
        <v>1.386</v>
      </c>
      <c r="C10" s="1">
        <f>17/LN(302)</f>
        <v>2.97701029157274</v>
      </c>
      <c r="D10" s="1">
        <f>1.386/LN(18)</f>
        <v>0.479523091178014</v>
      </c>
      <c r="E10" s="1">
        <f>1-0.4812</f>
        <v>0.5188</v>
      </c>
    </row>
    <row r="11" spans="1:5">
      <c r="A11" t="s">
        <v>75</v>
      </c>
      <c r="B11" s="1">
        <v>2.258</v>
      </c>
      <c r="C11" s="1">
        <f>22/LN(461)</f>
        <v>3.58691867799457</v>
      </c>
      <c r="D11" s="1">
        <f>2.258/LN(23)</f>
        <v>0.720141656944783</v>
      </c>
      <c r="E11" s="1">
        <f>1-0.1709</f>
        <v>0.8291</v>
      </c>
    </row>
    <row r="12" spans="1:5">
      <c r="A12" t="s">
        <v>76</v>
      </c>
      <c r="B12" s="1">
        <v>1.847</v>
      </c>
      <c r="C12" s="1">
        <f>21/LN(1013)</f>
        <v>3.03438762945299</v>
      </c>
      <c r="D12" s="1">
        <f>1.847/LN(22)</f>
        <v>0.597533041965598</v>
      </c>
      <c r="E12" s="1">
        <f>1-0.2232</f>
        <v>0.7768</v>
      </c>
    </row>
    <row r="13" spans="1:5">
      <c r="A13" t="s">
        <v>77</v>
      </c>
      <c r="B13" s="1">
        <v>2.104</v>
      </c>
      <c r="C13" s="1">
        <f>24/LN(548)</f>
        <v>3.80573300529274</v>
      </c>
      <c r="D13" s="1">
        <f>2.104/LN(25)</f>
        <v>0.653644351156712</v>
      </c>
      <c r="E13" s="1">
        <f>1-0.2102</f>
        <v>0.7898</v>
      </c>
    </row>
    <row r="14" spans="1:5">
      <c r="A14" t="s">
        <v>78</v>
      </c>
      <c r="B14" s="1">
        <v>1.916</v>
      </c>
      <c r="C14" s="1">
        <f>30/LN(4619)</f>
        <v>3.55537288400238</v>
      </c>
      <c r="D14" s="1">
        <f>1.916/LN(31)</f>
        <v>0.557951991637448</v>
      </c>
      <c r="E14" s="1">
        <f>1-0.2303</f>
        <v>0.7697</v>
      </c>
    </row>
    <row r="15" spans="1:5">
      <c r="A15" t="s">
        <v>79</v>
      </c>
      <c r="B15" s="1">
        <v>2.441</v>
      </c>
      <c r="C15" s="1">
        <f>21/LN(362)</f>
        <v>3.56437002048572</v>
      </c>
      <c r="D15" s="1">
        <f>2.441/LN(22)</f>
        <v>0.78970122113591</v>
      </c>
      <c r="E15" s="1">
        <f>1-0.1198</f>
        <v>0.8802</v>
      </c>
    </row>
    <row r="16" spans="1:5">
      <c r="A16" t="s">
        <v>80</v>
      </c>
      <c r="B16" s="1">
        <v>1.947</v>
      </c>
      <c r="C16" s="1">
        <f>26/LN(1021)</f>
        <v>3.75259552337801</v>
      </c>
      <c r="D16" s="1">
        <f>1.947/LN(27)</f>
        <v>0.590745258080817</v>
      </c>
      <c r="E16" s="1">
        <f>1-0.2192</f>
        <v>0.7808</v>
      </c>
    </row>
    <row r="18" spans="2:5">
      <c r="B18">
        <v>1.791</v>
      </c>
      <c r="C18">
        <v>3.066</v>
      </c>
      <c r="D18">
        <v>0.5911</v>
      </c>
      <c r="E18">
        <v>0.70834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opLeftCell="A9" workbookViewId="0">
      <selection activeCell="A2" sqref="A2:A43"/>
    </sheetView>
  </sheetViews>
  <sheetFormatPr defaultColWidth="8.89166666666667" defaultRowHeight="13.5"/>
  <cols>
    <col min="5" max="6" width="12.8916666666667"/>
    <col min="7" max="7" width="27" customWidth="1"/>
    <col min="8" max="8" width="12.8916666666667"/>
    <col min="9" max="10" width="13" customWidth="1"/>
    <col min="11" max="11" width="9.66666666666667"/>
    <col min="12" max="12" width="12.8916666666667"/>
  </cols>
  <sheetData>
    <row r="1" ht="17.25" spans="1:12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3" t="s">
        <v>9</v>
      </c>
      <c r="L1" t="s">
        <v>10</v>
      </c>
    </row>
    <row r="2" ht="17.25" spans="1:12">
      <c r="A2" s="13" t="s">
        <v>15</v>
      </c>
      <c r="B2">
        <v>65</v>
      </c>
      <c r="C2">
        <v>108.64</v>
      </c>
      <c r="D2">
        <v>10</v>
      </c>
      <c r="E2">
        <f>D2/15</f>
        <v>0.666666666666667</v>
      </c>
      <c r="F2">
        <f>B2/2701</f>
        <v>0.0240651610514624</v>
      </c>
      <c r="G2">
        <f>C2/79991</f>
        <v>0.00135815279218912</v>
      </c>
      <c r="H2">
        <f>(F2+G2)*100</f>
        <v>2.54233138436515</v>
      </c>
      <c r="I2">
        <f>H2*100*E2</f>
        <v>169.488758957677</v>
      </c>
      <c r="K2">
        <v>2701</v>
      </c>
      <c r="L2">
        <v>79991</v>
      </c>
    </row>
    <row r="3" ht="17.25" spans="1:9">
      <c r="A3" s="13" t="s">
        <v>16</v>
      </c>
      <c r="B3">
        <v>1</v>
      </c>
      <c r="C3">
        <v>2.59</v>
      </c>
      <c r="D3">
        <v>1</v>
      </c>
      <c r="E3">
        <f t="shared" ref="E3:E43" si="0">D3/15</f>
        <v>0.0666666666666667</v>
      </c>
      <c r="F3">
        <f t="shared" ref="F3:F43" si="1">B3/2701</f>
        <v>0.000370233246945576</v>
      </c>
      <c r="G3">
        <f t="shared" ref="G3:G43" si="2">C3/79991</f>
        <v>3.23786425972922e-5</v>
      </c>
      <c r="H3">
        <f t="shared" ref="H3:H43" si="3">(F3+G3)*100</f>
        <v>0.0402611889542868</v>
      </c>
      <c r="I3">
        <f t="shared" ref="I3:I43" si="4">H3*100*E3</f>
        <v>0.268407926361912</v>
      </c>
    </row>
    <row r="4" ht="17.25" spans="1:9">
      <c r="A4" s="13" t="s">
        <v>17</v>
      </c>
      <c r="B4">
        <v>1</v>
      </c>
      <c r="C4">
        <v>0.93</v>
      </c>
      <c r="D4">
        <v>1</v>
      </c>
      <c r="E4">
        <f t="shared" si="0"/>
        <v>0.0666666666666667</v>
      </c>
      <c r="F4">
        <f t="shared" si="1"/>
        <v>0.000370233246945576</v>
      </c>
      <c r="G4">
        <f t="shared" si="2"/>
        <v>1.16263079596455e-5</v>
      </c>
      <c r="H4">
        <f t="shared" si="3"/>
        <v>0.0381859554905221</v>
      </c>
      <c r="I4">
        <f t="shared" si="4"/>
        <v>0.254573036603481</v>
      </c>
    </row>
    <row r="5" ht="17.25" spans="1:9">
      <c r="A5" s="13" t="s">
        <v>18</v>
      </c>
      <c r="B5">
        <v>1</v>
      </c>
      <c r="C5">
        <v>2.45</v>
      </c>
      <c r="D5">
        <v>1</v>
      </c>
      <c r="E5">
        <f t="shared" si="0"/>
        <v>0.0666666666666667</v>
      </c>
      <c r="F5">
        <f t="shared" si="1"/>
        <v>0.000370233246945576</v>
      </c>
      <c r="G5">
        <f t="shared" si="2"/>
        <v>3.06284457001413e-5</v>
      </c>
      <c r="H5">
        <f t="shared" si="3"/>
        <v>0.0400861692645717</v>
      </c>
      <c r="I5">
        <f t="shared" si="4"/>
        <v>0.267241128430478</v>
      </c>
    </row>
    <row r="6" ht="17.25" spans="1:9">
      <c r="A6" s="13" t="s">
        <v>19</v>
      </c>
      <c r="B6">
        <v>8</v>
      </c>
      <c r="C6">
        <v>7.19</v>
      </c>
      <c r="D6">
        <v>4</v>
      </c>
      <c r="E6">
        <f t="shared" si="0"/>
        <v>0.266666666666667</v>
      </c>
      <c r="F6">
        <f t="shared" si="1"/>
        <v>0.00296186597556461</v>
      </c>
      <c r="G6">
        <f t="shared" si="2"/>
        <v>8.98851120751085e-5</v>
      </c>
      <c r="H6">
        <f t="shared" si="3"/>
        <v>0.305175108763971</v>
      </c>
      <c r="I6">
        <f t="shared" si="4"/>
        <v>8.13800290037258</v>
      </c>
    </row>
    <row r="7" ht="17.25" spans="1:9">
      <c r="A7" s="13" t="s">
        <v>20</v>
      </c>
      <c r="B7">
        <v>51</v>
      </c>
      <c r="C7">
        <v>632.4</v>
      </c>
      <c r="D7">
        <v>5</v>
      </c>
      <c r="E7">
        <f t="shared" si="0"/>
        <v>0.333333333333333</v>
      </c>
      <c r="F7">
        <f t="shared" si="1"/>
        <v>0.0188818955942244</v>
      </c>
      <c r="G7">
        <f t="shared" si="2"/>
        <v>0.00790588941255891</v>
      </c>
      <c r="H7">
        <f t="shared" si="3"/>
        <v>2.67877850067833</v>
      </c>
      <c r="I7">
        <f t="shared" si="4"/>
        <v>89.2926166892775</v>
      </c>
    </row>
    <row r="8" ht="17.25" spans="1:9">
      <c r="A8" s="13" t="s">
        <v>21</v>
      </c>
      <c r="B8">
        <v>4</v>
      </c>
      <c r="C8">
        <v>5708.35</v>
      </c>
      <c r="D8">
        <v>3</v>
      </c>
      <c r="E8">
        <f t="shared" si="0"/>
        <v>0.2</v>
      </c>
      <c r="F8">
        <f t="shared" si="1"/>
        <v>0.0014809329877823</v>
      </c>
      <c r="G8">
        <f t="shared" si="2"/>
        <v>0.0713624032703679</v>
      </c>
      <c r="H8">
        <f t="shared" si="3"/>
        <v>7.28433362581502</v>
      </c>
      <c r="I8">
        <f t="shared" si="4"/>
        <v>145.6866725163</v>
      </c>
    </row>
    <row r="9" ht="17.25" spans="1:9">
      <c r="A9" s="13" t="s">
        <v>22</v>
      </c>
      <c r="B9">
        <v>55</v>
      </c>
      <c r="C9">
        <v>159.48</v>
      </c>
      <c r="D9">
        <v>7</v>
      </c>
      <c r="E9">
        <f t="shared" si="0"/>
        <v>0.466666666666667</v>
      </c>
      <c r="F9">
        <f t="shared" si="1"/>
        <v>0.0203628285820067</v>
      </c>
      <c r="G9">
        <f t="shared" si="2"/>
        <v>0.00199372429398307</v>
      </c>
      <c r="H9">
        <f t="shared" si="3"/>
        <v>2.23565528759897</v>
      </c>
      <c r="I9">
        <f t="shared" si="4"/>
        <v>104.330580087952</v>
      </c>
    </row>
    <row r="10" ht="17.25" spans="1:9">
      <c r="A10" s="13" t="s">
        <v>23</v>
      </c>
      <c r="B10">
        <v>2</v>
      </c>
      <c r="C10">
        <v>434.45</v>
      </c>
      <c r="D10">
        <v>2</v>
      </c>
      <c r="E10">
        <f t="shared" si="0"/>
        <v>0.133333333333333</v>
      </c>
      <c r="F10">
        <f t="shared" si="1"/>
        <v>0.000740466493891151</v>
      </c>
      <c r="G10">
        <f t="shared" si="2"/>
        <v>0.00543123601405158</v>
      </c>
      <c r="H10">
        <f t="shared" si="3"/>
        <v>0.617170250794273</v>
      </c>
      <c r="I10">
        <f t="shared" si="4"/>
        <v>8.22893667725696</v>
      </c>
    </row>
    <row r="11" ht="17.25" spans="1:9">
      <c r="A11" s="13" t="s">
        <v>24</v>
      </c>
      <c r="B11">
        <v>12</v>
      </c>
      <c r="C11">
        <v>1413.25</v>
      </c>
      <c r="D11">
        <v>2</v>
      </c>
      <c r="E11">
        <f t="shared" si="0"/>
        <v>0.133333333333333</v>
      </c>
      <c r="F11">
        <f t="shared" si="1"/>
        <v>0.00444279896334691</v>
      </c>
      <c r="G11">
        <f t="shared" si="2"/>
        <v>0.0176676126064182</v>
      </c>
      <c r="H11">
        <f t="shared" si="3"/>
        <v>2.21104115697651</v>
      </c>
      <c r="I11">
        <f t="shared" si="4"/>
        <v>29.4805487596867</v>
      </c>
    </row>
    <row r="12" ht="17.25" spans="1:9">
      <c r="A12" s="13" t="s">
        <v>25</v>
      </c>
      <c r="B12">
        <v>9</v>
      </c>
      <c r="C12">
        <v>142.08</v>
      </c>
      <c r="D12">
        <v>5</v>
      </c>
      <c r="E12">
        <f t="shared" si="0"/>
        <v>0.333333333333333</v>
      </c>
      <c r="F12">
        <f t="shared" si="1"/>
        <v>0.00333209922251018</v>
      </c>
      <c r="G12">
        <f t="shared" si="2"/>
        <v>0.00177619982248003</v>
      </c>
      <c r="H12">
        <f t="shared" si="3"/>
        <v>0.510829904499021</v>
      </c>
      <c r="I12">
        <f t="shared" si="4"/>
        <v>17.0276634833007</v>
      </c>
    </row>
    <row r="13" ht="17.25" spans="1:9">
      <c r="A13" s="13" t="s">
        <v>26</v>
      </c>
      <c r="B13">
        <v>15</v>
      </c>
      <c r="C13">
        <v>32.87</v>
      </c>
      <c r="D13">
        <v>5</v>
      </c>
      <c r="E13">
        <f t="shared" si="0"/>
        <v>0.333333333333333</v>
      </c>
      <c r="F13">
        <f t="shared" si="1"/>
        <v>0.00555349870418364</v>
      </c>
      <c r="G13">
        <f t="shared" si="2"/>
        <v>0.000410921228638222</v>
      </c>
      <c r="H13">
        <f t="shared" si="3"/>
        <v>0.596441993282186</v>
      </c>
      <c r="I13">
        <f t="shared" si="4"/>
        <v>19.8813997760728</v>
      </c>
    </row>
    <row r="14" ht="17.25" spans="1:9">
      <c r="A14" s="13" t="s">
        <v>27</v>
      </c>
      <c r="B14">
        <v>8</v>
      </c>
      <c r="C14">
        <v>1733.24</v>
      </c>
      <c r="D14">
        <v>1</v>
      </c>
      <c r="E14">
        <f t="shared" si="0"/>
        <v>0.0666666666666667</v>
      </c>
      <c r="F14">
        <f t="shared" si="1"/>
        <v>0.00296186597556461</v>
      </c>
      <c r="G14">
        <f t="shared" si="2"/>
        <v>0.0216679376429848</v>
      </c>
      <c r="H14">
        <f t="shared" si="3"/>
        <v>2.46298036185494</v>
      </c>
      <c r="I14">
        <f t="shared" si="4"/>
        <v>16.4198690790329</v>
      </c>
    </row>
    <row r="15" ht="17.25" spans="1:9">
      <c r="A15" s="13" t="s">
        <v>28</v>
      </c>
      <c r="B15">
        <v>27</v>
      </c>
      <c r="C15">
        <v>627.43</v>
      </c>
      <c r="D15">
        <v>3</v>
      </c>
      <c r="E15">
        <f t="shared" si="0"/>
        <v>0.2</v>
      </c>
      <c r="F15">
        <f t="shared" si="1"/>
        <v>0.00999629766753054</v>
      </c>
      <c r="G15">
        <f t="shared" si="2"/>
        <v>0.00784375742271005</v>
      </c>
      <c r="H15">
        <f t="shared" si="3"/>
        <v>1.78400550902406</v>
      </c>
      <c r="I15">
        <f t="shared" si="4"/>
        <v>35.6801101804812</v>
      </c>
    </row>
    <row r="16" ht="17.25" spans="1:9">
      <c r="A16" s="13" t="s">
        <v>29</v>
      </c>
      <c r="B16">
        <v>5</v>
      </c>
      <c r="C16">
        <v>216.06</v>
      </c>
      <c r="D16">
        <v>4</v>
      </c>
      <c r="E16">
        <f t="shared" si="0"/>
        <v>0.266666666666667</v>
      </c>
      <c r="F16">
        <f t="shared" si="1"/>
        <v>0.00185116623472788</v>
      </c>
      <c r="G16">
        <f t="shared" si="2"/>
        <v>0.00270105386856021</v>
      </c>
      <c r="H16">
        <f t="shared" si="3"/>
        <v>0.455222010328809</v>
      </c>
      <c r="I16">
        <f t="shared" si="4"/>
        <v>12.1392536087683</v>
      </c>
    </row>
    <row r="17" ht="17.25" spans="1:9">
      <c r="A17" s="13" t="s">
        <v>30</v>
      </c>
      <c r="B17">
        <v>3</v>
      </c>
      <c r="C17">
        <v>8.19</v>
      </c>
      <c r="D17">
        <v>1</v>
      </c>
      <c r="E17">
        <f t="shared" si="0"/>
        <v>0.0666666666666667</v>
      </c>
      <c r="F17">
        <f t="shared" si="1"/>
        <v>0.00111069974083673</v>
      </c>
      <c r="G17">
        <f t="shared" si="2"/>
        <v>0.000102386518483329</v>
      </c>
      <c r="H17">
        <f t="shared" si="3"/>
        <v>0.121308625932006</v>
      </c>
      <c r="I17">
        <f t="shared" si="4"/>
        <v>0.808724172880038</v>
      </c>
    </row>
    <row r="18" ht="17.25" spans="1:10">
      <c r="A18" s="13" t="s">
        <v>31</v>
      </c>
      <c r="B18">
        <v>258</v>
      </c>
      <c r="C18">
        <v>1606.82</v>
      </c>
      <c r="D18">
        <v>12</v>
      </c>
      <c r="E18">
        <f t="shared" si="0"/>
        <v>0.8</v>
      </c>
      <c r="F18">
        <f t="shared" si="1"/>
        <v>0.0955201777119585</v>
      </c>
      <c r="G18">
        <f t="shared" si="2"/>
        <v>0.0200875098448575</v>
      </c>
      <c r="H18">
        <f t="shared" si="3"/>
        <v>11.5607687556816</v>
      </c>
      <c r="I18">
        <f t="shared" si="4"/>
        <v>924.861500454528</v>
      </c>
      <c r="J18" s="3" t="s">
        <v>32</v>
      </c>
    </row>
    <row r="19" ht="17.25" spans="1:10">
      <c r="A19" s="13" t="s">
        <v>33</v>
      </c>
      <c r="B19">
        <v>288</v>
      </c>
      <c r="C19">
        <v>8546.53</v>
      </c>
      <c r="D19">
        <v>9</v>
      </c>
      <c r="E19">
        <f t="shared" si="0"/>
        <v>0.6</v>
      </c>
      <c r="F19">
        <f t="shared" si="1"/>
        <v>0.106627175120326</v>
      </c>
      <c r="G19">
        <f t="shared" si="2"/>
        <v>0.106843644910052</v>
      </c>
      <c r="H19">
        <f t="shared" si="3"/>
        <v>21.3470820030378</v>
      </c>
      <c r="I19">
        <f t="shared" si="4"/>
        <v>1280.82492018227</v>
      </c>
      <c r="J19" s="3" t="s">
        <v>32</v>
      </c>
    </row>
    <row r="20" ht="17.25" spans="1:9">
      <c r="A20" s="13" t="s">
        <v>34</v>
      </c>
      <c r="B20">
        <v>15</v>
      </c>
      <c r="C20">
        <v>16.09</v>
      </c>
      <c r="D20">
        <v>6</v>
      </c>
      <c r="E20">
        <f t="shared" si="0"/>
        <v>0.4</v>
      </c>
      <c r="F20">
        <f t="shared" si="1"/>
        <v>0.00555349870418364</v>
      </c>
      <c r="G20">
        <f t="shared" si="2"/>
        <v>0.000201147629108275</v>
      </c>
      <c r="H20">
        <f t="shared" si="3"/>
        <v>0.575464633329191</v>
      </c>
      <c r="I20">
        <f t="shared" si="4"/>
        <v>23.0185853331676</v>
      </c>
    </row>
    <row r="21" ht="17.25" spans="1:10">
      <c r="A21" s="13" t="s">
        <v>35</v>
      </c>
      <c r="B21">
        <v>162</v>
      </c>
      <c r="C21">
        <v>8666.24</v>
      </c>
      <c r="D21">
        <v>12</v>
      </c>
      <c r="E21">
        <f t="shared" si="0"/>
        <v>0.8</v>
      </c>
      <c r="F21">
        <f t="shared" si="1"/>
        <v>0.0599777860051833</v>
      </c>
      <c r="G21">
        <f t="shared" si="2"/>
        <v>0.10834018827118</v>
      </c>
      <c r="H21">
        <f t="shared" si="3"/>
        <v>16.8317974276363</v>
      </c>
      <c r="I21">
        <f t="shared" si="4"/>
        <v>1346.54379421091</v>
      </c>
      <c r="J21" s="3" t="s">
        <v>32</v>
      </c>
    </row>
    <row r="22" ht="17.25" spans="1:9">
      <c r="A22" s="13" t="s">
        <v>36</v>
      </c>
      <c r="B22">
        <v>0</v>
      </c>
      <c r="C22">
        <v>0</v>
      </c>
      <c r="D22">
        <v>0</v>
      </c>
      <c r="E22">
        <f t="shared" si="0"/>
        <v>0</v>
      </c>
      <c r="F22">
        <f t="shared" si="1"/>
        <v>0</v>
      </c>
      <c r="G22">
        <f t="shared" si="2"/>
        <v>0</v>
      </c>
      <c r="H22">
        <f t="shared" si="3"/>
        <v>0</v>
      </c>
      <c r="I22">
        <f t="shared" si="4"/>
        <v>0</v>
      </c>
    </row>
    <row r="23" ht="17.25" spans="1:9">
      <c r="A23" s="13" t="s">
        <v>37</v>
      </c>
      <c r="B23">
        <v>15</v>
      </c>
      <c r="C23">
        <v>954.52</v>
      </c>
      <c r="D23">
        <v>8</v>
      </c>
      <c r="E23">
        <f t="shared" si="0"/>
        <v>0.533333333333333</v>
      </c>
      <c r="F23">
        <f t="shared" si="1"/>
        <v>0.00555349870418364</v>
      </c>
      <c r="G23">
        <f t="shared" si="2"/>
        <v>0.011932842444775</v>
      </c>
      <c r="H23">
        <f t="shared" si="3"/>
        <v>1.74863411489586</v>
      </c>
      <c r="I23">
        <f t="shared" si="4"/>
        <v>93.2604861277793</v>
      </c>
    </row>
    <row r="24" ht="17.25" spans="1:9">
      <c r="A24" s="13" t="s">
        <v>38</v>
      </c>
      <c r="B24">
        <v>24</v>
      </c>
      <c r="C24">
        <v>18198</v>
      </c>
      <c r="D24">
        <v>6</v>
      </c>
      <c r="E24">
        <f t="shared" si="0"/>
        <v>0.4</v>
      </c>
      <c r="F24">
        <f t="shared" si="1"/>
        <v>0.00888559792669382</v>
      </c>
      <c r="G24">
        <f t="shared" si="2"/>
        <v>0.227500593816804</v>
      </c>
      <c r="H24">
        <f t="shared" si="3"/>
        <v>23.6386191743498</v>
      </c>
      <c r="I24">
        <f t="shared" si="4"/>
        <v>945.544766973991</v>
      </c>
    </row>
    <row r="25" ht="17.25" spans="1:9">
      <c r="A25" s="13" t="s">
        <v>39</v>
      </c>
      <c r="B25">
        <v>16</v>
      </c>
      <c r="C25">
        <v>8532.17</v>
      </c>
      <c r="D25">
        <v>4</v>
      </c>
      <c r="E25">
        <f t="shared" si="0"/>
        <v>0.266666666666667</v>
      </c>
      <c r="F25">
        <f t="shared" si="1"/>
        <v>0.00592373195112921</v>
      </c>
      <c r="G25">
        <f t="shared" si="2"/>
        <v>0.10666412471403</v>
      </c>
      <c r="H25">
        <f t="shared" si="3"/>
        <v>11.2587856665159</v>
      </c>
      <c r="I25">
        <f t="shared" si="4"/>
        <v>300.234284440425</v>
      </c>
    </row>
    <row r="26" ht="17.25" spans="1:9">
      <c r="A26" s="13" t="s">
        <v>40</v>
      </c>
      <c r="B26">
        <v>184</v>
      </c>
      <c r="C26">
        <v>197.65</v>
      </c>
      <c r="D26">
        <v>12</v>
      </c>
      <c r="E26">
        <f t="shared" si="0"/>
        <v>0.8</v>
      </c>
      <c r="F26">
        <f t="shared" si="1"/>
        <v>0.0681229174379859</v>
      </c>
      <c r="G26">
        <f t="shared" si="2"/>
        <v>0.00247090297658487</v>
      </c>
      <c r="H26">
        <f t="shared" si="3"/>
        <v>7.05938204145708</v>
      </c>
      <c r="I26">
        <f t="shared" si="4"/>
        <v>564.750563316566</v>
      </c>
    </row>
    <row r="27" ht="17.25" spans="1:9">
      <c r="A27" s="13" t="s">
        <v>41</v>
      </c>
      <c r="B27">
        <v>0</v>
      </c>
      <c r="C27">
        <v>0</v>
      </c>
      <c r="D27">
        <v>0</v>
      </c>
      <c r="E27">
        <f t="shared" si="0"/>
        <v>0</v>
      </c>
      <c r="F27">
        <f t="shared" si="1"/>
        <v>0</v>
      </c>
      <c r="G27">
        <f t="shared" si="2"/>
        <v>0</v>
      </c>
      <c r="H27">
        <f t="shared" si="3"/>
        <v>0</v>
      </c>
      <c r="I27">
        <f t="shared" si="4"/>
        <v>0</v>
      </c>
    </row>
    <row r="28" ht="17.25" spans="1:9">
      <c r="A28" s="13" t="s">
        <v>42</v>
      </c>
      <c r="B28">
        <v>0</v>
      </c>
      <c r="C28">
        <v>0</v>
      </c>
      <c r="D28">
        <v>0</v>
      </c>
      <c r="E28">
        <f t="shared" si="0"/>
        <v>0</v>
      </c>
      <c r="F28">
        <f t="shared" si="1"/>
        <v>0</v>
      </c>
      <c r="G28">
        <f t="shared" si="2"/>
        <v>0</v>
      </c>
      <c r="H28">
        <f t="shared" si="3"/>
        <v>0</v>
      </c>
      <c r="I28">
        <f t="shared" si="4"/>
        <v>0</v>
      </c>
    </row>
    <row r="29" ht="17.25" spans="1:9">
      <c r="A29" s="13" t="s">
        <v>43</v>
      </c>
      <c r="B29">
        <v>0</v>
      </c>
      <c r="C29">
        <v>0</v>
      </c>
      <c r="D29">
        <v>0</v>
      </c>
      <c r="E29">
        <f t="shared" si="0"/>
        <v>0</v>
      </c>
      <c r="F29">
        <f t="shared" si="1"/>
        <v>0</v>
      </c>
      <c r="G29">
        <f t="shared" si="2"/>
        <v>0</v>
      </c>
      <c r="H29">
        <f t="shared" si="3"/>
        <v>0</v>
      </c>
      <c r="I29">
        <f t="shared" si="4"/>
        <v>0</v>
      </c>
    </row>
    <row r="30" ht="17.25" spans="1:9">
      <c r="A30" s="13" t="s">
        <v>44</v>
      </c>
      <c r="B30">
        <v>6</v>
      </c>
      <c r="C30">
        <v>2842.37</v>
      </c>
      <c r="D30">
        <v>3</v>
      </c>
      <c r="E30">
        <f t="shared" si="0"/>
        <v>0.2</v>
      </c>
      <c r="F30">
        <f t="shared" si="1"/>
        <v>0.00222139948167345</v>
      </c>
      <c r="G30">
        <f t="shared" si="2"/>
        <v>0.0355336225325349</v>
      </c>
      <c r="H30">
        <f t="shared" si="3"/>
        <v>3.77550220142084</v>
      </c>
      <c r="I30">
        <f t="shared" si="4"/>
        <v>75.5100440284167</v>
      </c>
    </row>
    <row r="31" ht="17.25" spans="1:9">
      <c r="A31" s="13" t="s">
        <v>45</v>
      </c>
      <c r="B31">
        <v>1</v>
      </c>
      <c r="C31">
        <v>0.32</v>
      </c>
      <c r="D31">
        <v>1</v>
      </c>
      <c r="E31">
        <f t="shared" si="0"/>
        <v>0.0666666666666667</v>
      </c>
      <c r="F31">
        <f t="shared" si="1"/>
        <v>0.000370233246945576</v>
      </c>
      <c r="G31">
        <f t="shared" si="2"/>
        <v>4.0004500506307e-6</v>
      </c>
      <c r="H31">
        <f t="shared" si="3"/>
        <v>0.0374233696996206</v>
      </c>
      <c r="I31">
        <f t="shared" si="4"/>
        <v>0.249489131330804</v>
      </c>
    </row>
    <row r="32" ht="17.25" spans="1:9">
      <c r="A32" s="13" t="s">
        <v>46</v>
      </c>
      <c r="B32">
        <v>9</v>
      </c>
      <c r="C32">
        <v>5.32</v>
      </c>
      <c r="D32">
        <v>3</v>
      </c>
      <c r="E32">
        <f t="shared" si="0"/>
        <v>0.2</v>
      </c>
      <c r="F32">
        <f t="shared" si="1"/>
        <v>0.00333209922251018</v>
      </c>
      <c r="G32">
        <f t="shared" si="2"/>
        <v>6.65074820917353e-5</v>
      </c>
      <c r="H32">
        <f t="shared" si="3"/>
        <v>0.339860670460192</v>
      </c>
      <c r="I32">
        <f t="shared" si="4"/>
        <v>6.79721340920383</v>
      </c>
    </row>
    <row r="33" ht="17.25" spans="1:9">
      <c r="A33" s="13" t="s">
        <v>47</v>
      </c>
      <c r="B33">
        <v>0</v>
      </c>
      <c r="C33">
        <v>0</v>
      </c>
      <c r="D33">
        <v>0</v>
      </c>
      <c r="E33">
        <f t="shared" si="0"/>
        <v>0</v>
      </c>
      <c r="F33">
        <f t="shared" si="1"/>
        <v>0</v>
      </c>
      <c r="G33">
        <f t="shared" si="2"/>
        <v>0</v>
      </c>
      <c r="H33">
        <f t="shared" si="3"/>
        <v>0</v>
      </c>
      <c r="I33">
        <f t="shared" si="4"/>
        <v>0</v>
      </c>
    </row>
    <row r="34" ht="17.25" spans="1:9">
      <c r="A34" s="13" t="s">
        <v>48</v>
      </c>
      <c r="B34">
        <v>0</v>
      </c>
      <c r="C34">
        <v>0</v>
      </c>
      <c r="D34">
        <v>0</v>
      </c>
      <c r="E34">
        <f t="shared" si="0"/>
        <v>0</v>
      </c>
      <c r="F34">
        <f t="shared" si="1"/>
        <v>0</v>
      </c>
      <c r="G34">
        <f t="shared" si="2"/>
        <v>0</v>
      </c>
      <c r="H34">
        <f t="shared" si="3"/>
        <v>0</v>
      </c>
      <c r="I34">
        <f t="shared" si="4"/>
        <v>0</v>
      </c>
    </row>
    <row r="35" ht="17.25" spans="1:9">
      <c r="A35" s="13" t="s">
        <v>49</v>
      </c>
      <c r="B35">
        <v>0</v>
      </c>
      <c r="C35">
        <v>0</v>
      </c>
      <c r="D35">
        <v>0</v>
      </c>
      <c r="E35">
        <f t="shared" si="0"/>
        <v>0</v>
      </c>
      <c r="F35">
        <f t="shared" si="1"/>
        <v>0</v>
      </c>
      <c r="G35">
        <f t="shared" si="2"/>
        <v>0</v>
      </c>
      <c r="H35">
        <f t="shared" si="3"/>
        <v>0</v>
      </c>
      <c r="I35">
        <f t="shared" si="4"/>
        <v>0</v>
      </c>
    </row>
    <row r="36" ht="17.25" spans="1:9">
      <c r="A36" s="13" t="s">
        <v>50</v>
      </c>
      <c r="B36">
        <v>14</v>
      </c>
      <c r="C36">
        <v>12214</v>
      </c>
      <c r="D36">
        <v>1</v>
      </c>
      <c r="E36">
        <f t="shared" si="0"/>
        <v>0.0666666666666667</v>
      </c>
      <c r="F36">
        <f t="shared" si="1"/>
        <v>0.00518326545723806</v>
      </c>
      <c r="G36">
        <f t="shared" si="2"/>
        <v>0.15269217787001</v>
      </c>
      <c r="H36">
        <f t="shared" si="3"/>
        <v>15.7875443327248</v>
      </c>
      <c r="I36">
        <f t="shared" si="4"/>
        <v>105.250295551499</v>
      </c>
    </row>
    <row r="37" ht="17.25" spans="1:9">
      <c r="A37" s="13" t="s">
        <v>51</v>
      </c>
      <c r="B37">
        <v>2</v>
      </c>
      <c r="C37">
        <v>1.38</v>
      </c>
      <c r="D37">
        <v>1</v>
      </c>
      <c r="E37">
        <f t="shared" si="0"/>
        <v>0.0666666666666667</v>
      </c>
      <c r="F37">
        <f t="shared" si="1"/>
        <v>0.000740466493891151</v>
      </c>
      <c r="G37">
        <f t="shared" si="2"/>
        <v>1.72519408433449e-5</v>
      </c>
      <c r="H37">
        <f t="shared" si="3"/>
        <v>0.0757718434734496</v>
      </c>
      <c r="I37">
        <f t="shared" si="4"/>
        <v>0.505145623156331</v>
      </c>
    </row>
    <row r="38" ht="17.25" spans="1:9">
      <c r="A38" s="13" t="s">
        <v>52</v>
      </c>
      <c r="B38">
        <v>1</v>
      </c>
      <c r="C38">
        <v>320.76</v>
      </c>
      <c r="D38">
        <v>1</v>
      </c>
      <c r="E38">
        <f t="shared" si="0"/>
        <v>0.0666666666666667</v>
      </c>
      <c r="F38">
        <f t="shared" si="1"/>
        <v>0.000370233246945576</v>
      </c>
      <c r="G38">
        <f t="shared" si="2"/>
        <v>0.00400995111950094</v>
      </c>
      <c r="H38">
        <f t="shared" si="3"/>
        <v>0.438018436644652</v>
      </c>
      <c r="I38">
        <f t="shared" si="4"/>
        <v>2.92012291096435</v>
      </c>
    </row>
    <row r="39" ht="17.25" spans="1:10">
      <c r="A39" s="13" t="s">
        <v>53</v>
      </c>
      <c r="B39">
        <v>428</v>
      </c>
      <c r="C39">
        <v>1645.12</v>
      </c>
      <c r="D39">
        <v>10</v>
      </c>
      <c r="E39">
        <f t="shared" si="0"/>
        <v>0.666666666666667</v>
      </c>
      <c r="F39">
        <f t="shared" si="1"/>
        <v>0.158459829692706</v>
      </c>
      <c r="G39">
        <f t="shared" si="2"/>
        <v>0.0205663137102924</v>
      </c>
      <c r="H39">
        <f t="shared" si="3"/>
        <v>17.9026143402999</v>
      </c>
      <c r="I39">
        <f t="shared" si="4"/>
        <v>1193.50762268666</v>
      </c>
      <c r="J39" s="3" t="s">
        <v>32</v>
      </c>
    </row>
    <row r="40" ht="17.25" spans="1:9">
      <c r="A40" s="13" t="s">
        <v>55</v>
      </c>
      <c r="B40">
        <v>3</v>
      </c>
      <c r="C40">
        <v>4438.04</v>
      </c>
      <c r="D40">
        <v>1</v>
      </c>
      <c r="E40">
        <f t="shared" si="0"/>
        <v>0.0666666666666667</v>
      </c>
      <c r="F40">
        <f t="shared" si="1"/>
        <v>0.00111069974083673</v>
      </c>
      <c r="G40">
        <f t="shared" si="2"/>
        <v>0.0554817416959408</v>
      </c>
      <c r="H40">
        <f t="shared" si="3"/>
        <v>5.65924414367775</v>
      </c>
      <c r="I40">
        <f t="shared" si="4"/>
        <v>37.728294291185</v>
      </c>
    </row>
    <row r="41" ht="17.25" spans="1:9">
      <c r="A41" s="13" t="s">
        <v>56</v>
      </c>
      <c r="B41">
        <v>218</v>
      </c>
      <c r="C41">
        <v>287</v>
      </c>
      <c r="D41">
        <v>7</v>
      </c>
      <c r="E41">
        <f t="shared" si="0"/>
        <v>0.466666666666667</v>
      </c>
      <c r="F41">
        <f t="shared" si="1"/>
        <v>0.0807108478341355</v>
      </c>
      <c r="G41">
        <f t="shared" si="2"/>
        <v>0.00358790363915941</v>
      </c>
      <c r="H41">
        <f t="shared" si="3"/>
        <v>8.42987514732949</v>
      </c>
      <c r="I41">
        <f t="shared" si="4"/>
        <v>393.394173542043</v>
      </c>
    </row>
    <row r="42" ht="17.25" spans="1:10">
      <c r="A42" s="13" t="s">
        <v>57</v>
      </c>
      <c r="B42">
        <v>790</v>
      </c>
      <c r="C42">
        <v>289.43</v>
      </c>
      <c r="D42">
        <v>7</v>
      </c>
      <c r="E42">
        <f t="shared" si="0"/>
        <v>0.466666666666667</v>
      </c>
      <c r="F42">
        <f t="shared" si="1"/>
        <v>0.292484265087005</v>
      </c>
      <c r="G42">
        <f t="shared" si="2"/>
        <v>0.00361828205673138</v>
      </c>
      <c r="H42">
        <f t="shared" si="3"/>
        <v>29.6102547143736</v>
      </c>
      <c r="I42">
        <f t="shared" si="4"/>
        <v>1381.81188667077</v>
      </c>
      <c r="J42" s="3" t="s">
        <v>32</v>
      </c>
    </row>
    <row r="43" ht="17.25" spans="1:9">
      <c r="A43" s="13" t="s">
        <v>58</v>
      </c>
      <c r="B43">
        <v>0</v>
      </c>
      <c r="C43">
        <v>0</v>
      </c>
      <c r="D43">
        <v>0</v>
      </c>
      <c r="E43">
        <f t="shared" si="0"/>
        <v>0</v>
      </c>
      <c r="F43">
        <f t="shared" si="1"/>
        <v>0</v>
      </c>
      <c r="G43">
        <f t="shared" si="2"/>
        <v>0</v>
      </c>
      <c r="H43">
        <f t="shared" si="3"/>
        <v>0</v>
      </c>
      <c r="I43">
        <f t="shared" si="4"/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workbookViewId="0">
      <selection activeCell="N22" sqref="N22"/>
    </sheetView>
  </sheetViews>
  <sheetFormatPr defaultColWidth="8.89166666666667" defaultRowHeight="13.5"/>
  <cols>
    <col min="5" max="9" width="12.8916666666667"/>
  </cols>
  <sheetData>
    <row r="1" ht="17.25" spans="1:9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ht="17.25" spans="1:9">
      <c r="A2" s="13" t="s">
        <v>15</v>
      </c>
      <c r="B2">
        <v>26</v>
      </c>
      <c r="C2">
        <v>59.47</v>
      </c>
      <c r="D2">
        <v>6</v>
      </c>
      <c r="E2">
        <f>D2/15</f>
        <v>0.4</v>
      </c>
      <c r="F2">
        <f>B2/4521</f>
        <v>0.0057509400575094</v>
      </c>
      <c r="G2">
        <f>C2/212006</f>
        <v>0.000280510928935973</v>
      </c>
      <c r="H2">
        <f>(F2+G2)*100</f>
        <v>0.603145098644537</v>
      </c>
      <c r="I2">
        <f>E2*H2*100</f>
        <v>24.1258039457815</v>
      </c>
    </row>
    <row r="3" ht="17.25" spans="1:9">
      <c r="A3" s="13" t="s">
        <v>16</v>
      </c>
      <c r="B3">
        <v>0</v>
      </c>
      <c r="C3">
        <v>0</v>
      </c>
      <c r="E3">
        <f t="shared" ref="E3:E42" si="0">D3/15</f>
        <v>0</v>
      </c>
      <c r="F3">
        <f t="shared" ref="F3:F41" si="1">B3/4521</f>
        <v>0</v>
      </c>
      <c r="G3">
        <f t="shared" ref="G3:G41" si="2">C3/212006</f>
        <v>0</v>
      </c>
      <c r="H3">
        <f t="shared" ref="H3:H41" si="3">(F3+G3)*100</f>
        <v>0</v>
      </c>
      <c r="I3">
        <f t="shared" ref="I3:I41" si="4">E3*H3*100</f>
        <v>0</v>
      </c>
    </row>
    <row r="4" ht="17.25" spans="1:9">
      <c r="A4" s="13" t="s">
        <v>17</v>
      </c>
      <c r="B4">
        <v>1</v>
      </c>
      <c r="C4">
        <v>0.28</v>
      </c>
      <c r="D4">
        <v>1</v>
      </c>
      <c r="E4">
        <f t="shared" si="0"/>
        <v>0.0666666666666667</v>
      </c>
      <c r="F4">
        <f t="shared" si="1"/>
        <v>0.0002211900022119</v>
      </c>
      <c r="G4">
        <f t="shared" si="2"/>
        <v>1.32071733818854e-6</v>
      </c>
      <c r="H4">
        <f t="shared" si="3"/>
        <v>0.0222510719550089</v>
      </c>
      <c r="I4">
        <f t="shared" si="4"/>
        <v>0.148340479700059</v>
      </c>
    </row>
    <row r="5" ht="17.25" spans="1:9">
      <c r="A5" s="13" t="s">
        <v>18</v>
      </c>
      <c r="B5">
        <v>0</v>
      </c>
      <c r="C5">
        <v>0</v>
      </c>
      <c r="E5">
        <f t="shared" si="0"/>
        <v>0</v>
      </c>
      <c r="F5">
        <f t="shared" si="1"/>
        <v>0</v>
      </c>
      <c r="G5">
        <f t="shared" si="2"/>
        <v>0</v>
      </c>
      <c r="H5">
        <f t="shared" si="3"/>
        <v>0</v>
      </c>
      <c r="I5">
        <f t="shared" si="4"/>
        <v>0</v>
      </c>
    </row>
    <row r="6" ht="17.25" spans="1:9">
      <c r="A6" s="13" t="s">
        <v>19</v>
      </c>
      <c r="B6">
        <v>5</v>
      </c>
      <c r="C6">
        <v>6.26</v>
      </c>
      <c r="D6">
        <v>3</v>
      </c>
      <c r="E6">
        <f t="shared" si="0"/>
        <v>0.2</v>
      </c>
      <c r="F6">
        <f t="shared" si="1"/>
        <v>0.0011059500110595</v>
      </c>
      <c r="G6">
        <f t="shared" si="2"/>
        <v>2.95274662037867e-5</v>
      </c>
      <c r="H6">
        <f t="shared" si="3"/>
        <v>0.113547747726329</v>
      </c>
      <c r="I6">
        <f t="shared" si="4"/>
        <v>2.27095495452657</v>
      </c>
    </row>
    <row r="7" ht="17.25" spans="1:9">
      <c r="A7" s="13" t="s">
        <v>20</v>
      </c>
      <c r="B7">
        <v>46</v>
      </c>
      <c r="C7">
        <v>984.03</v>
      </c>
      <c r="D7">
        <v>5</v>
      </c>
      <c r="E7">
        <f t="shared" si="0"/>
        <v>0.333333333333333</v>
      </c>
      <c r="F7">
        <f t="shared" si="1"/>
        <v>0.0101747401017474</v>
      </c>
      <c r="G7">
        <f t="shared" si="2"/>
        <v>0.00464151957963454</v>
      </c>
      <c r="H7">
        <f t="shared" si="3"/>
        <v>1.48162596813819</v>
      </c>
      <c r="I7">
        <f t="shared" si="4"/>
        <v>49.3875322712731</v>
      </c>
    </row>
    <row r="8" ht="17.25" spans="1:9">
      <c r="A8" s="13" t="s">
        <v>21</v>
      </c>
      <c r="B8">
        <v>3</v>
      </c>
      <c r="C8">
        <v>406</v>
      </c>
      <c r="D8">
        <v>1</v>
      </c>
      <c r="E8">
        <f t="shared" si="0"/>
        <v>0.0666666666666667</v>
      </c>
      <c r="F8">
        <f t="shared" si="1"/>
        <v>0.0006635700066357</v>
      </c>
      <c r="G8">
        <f t="shared" si="2"/>
        <v>0.00191504014037339</v>
      </c>
      <c r="H8">
        <f t="shared" si="3"/>
        <v>0.257861014700909</v>
      </c>
      <c r="I8">
        <f t="shared" si="4"/>
        <v>1.71907343133939</v>
      </c>
    </row>
    <row r="9" ht="17.25" spans="1:9">
      <c r="A9" s="13" t="s">
        <v>22</v>
      </c>
      <c r="B9">
        <v>51</v>
      </c>
      <c r="C9">
        <v>566</v>
      </c>
      <c r="D9">
        <v>6</v>
      </c>
      <c r="E9">
        <f t="shared" si="0"/>
        <v>0.4</v>
      </c>
      <c r="F9">
        <f t="shared" si="1"/>
        <v>0.0112806901128069</v>
      </c>
      <c r="G9">
        <f t="shared" si="2"/>
        <v>0.00266973576219541</v>
      </c>
      <c r="H9">
        <f t="shared" si="3"/>
        <v>1.39504258750023</v>
      </c>
      <c r="I9">
        <f t="shared" si="4"/>
        <v>55.8017035000092</v>
      </c>
    </row>
    <row r="10" ht="17.25" spans="1:9">
      <c r="A10" s="13" t="s">
        <v>23</v>
      </c>
      <c r="B10">
        <v>3</v>
      </c>
      <c r="C10">
        <v>775</v>
      </c>
      <c r="D10">
        <v>2</v>
      </c>
      <c r="E10">
        <f t="shared" si="0"/>
        <v>0.133333333333333</v>
      </c>
      <c r="F10">
        <f t="shared" si="1"/>
        <v>0.0006635700066357</v>
      </c>
      <c r="G10">
        <f t="shared" si="2"/>
        <v>0.00365555691820043</v>
      </c>
      <c r="H10">
        <f t="shared" si="3"/>
        <v>0.431912692483613</v>
      </c>
      <c r="I10">
        <f t="shared" si="4"/>
        <v>5.7588358997815</v>
      </c>
    </row>
    <row r="11" ht="17.25" spans="1:9">
      <c r="A11" s="13" t="s">
        <v>24</v>
      </c>
      <c r="B11">
        <v>2</v>
      </c>
      <c r="C11">
        <v>56.17</v>
      </c>
      <c r="D11">
        <v>2</v>
      </c>
      <c r="E11">
        <f t="shared" si="0"/>
        <v>0.133333333333333</v>
      </c>
      <c r="F11">
        <f t="shared" si="1"/>
        <v>0.0004423800044238</v>
      </c>
      <c r="G11">
        <f t="shared" si="2"/>
        <v>0.000264945331735894</v>
      </c>
      <c r="H11">
        <f t="shared" si="3"/>
        <v>0.0707325336159694</v>
      </c>
      <c r="I11">
        <f t="shared" si="4"/>
        <v>0.943100448212926</v>
      </c>
    </row>
    <row r="12" ht="17.25" spans="1:9">
      <c r="A12" s="13" t="s">
        <v>25</v>
      </c>
      <c r="B12">
        <v>5</v>
      </c>
      <c r="C12">
        <v>159.2</v>
      </c>
      <c r="D12">
        <v>5</v>
      </c>
      <c r="E12">
        <f t="shared" si="0"/>
        <v>0.333333333333333</v>
      </c>
      <c r="F12">
        <f t="shared" si="1"/>
        <v>0.0011059500110595</v>
      </c>
      <c r="G12">
        <f t="shared" si="2"/>
        <v>0.000750922143712914</v>
      </c>
      <c r="H12">
        <f t="shared" si="3"/>
        <v>0.185687215477241</v>
      </c>
      <c r="I12">
        <f t="shared" si="4"/>
        <v>6.18957384924138</v>
      </c>
    </row>
    <row r="13" ht="17.25" spans="1:9">
      <c r="A13" s="13" t="s">
        <v>26</v>
      </c>
      <c r="B13">
        <v>206</v>
      </c>
      <c r="C13">
        <v>304</v>
      </c>
      <c r="D13">
        <v>9</v>
      </c>
      <c r="E13">
        <f t="shared" si="0"/>
        <v>0.6</v>
      </c>
      <c r="F13">
        <f t="shared" si="1"/>
        <v>0.0455651404556514</v>
      </c>
      <c r="G13">
        <f t="shared" si="2"/>
        <v>0.00143392168146185</v>
      </c>
      <c r="H13">
        <f t="shared" si="3"/>
        <v>4.69990621371132</v>
      </c>
      <c r="I13">
        <f t="shared" si="4"/>
        <v>281.994372822679</v>
      </c>
    </row>
    <row r="14" ht="17.25" spans="1:9">
      <c r="A14" s="13" t="s">
        <v>27</v>
      </c>
      <c r="B14">
        <v>94</v>
      </c>
      <c r="C14">
        <v>950.39</v>
      </c>
      <c r="D14">
        <v>4</v>
      </c>
      <c r="E14">
        <f t="shared" si="0"/>
        <v>0.266666666666667</v>
      </c>
      <c r="F14">
        <f t="shared" si="1"/>
        <v>0.0207918602079186</v>
      </c>
      <c r="G14">
        <f t="shared" si="2"/>
        <v>0.00448284482514646</v>
      </c>
      <c r="H14">
        <f t="shared" si="3"/>
        <v>2.52747050330651</v>
      </c>
      <c r="I14">
        <f t="shared" si="4"/>
        <v>67.3992134215068</v>
      </c>
    </row>
    <row r="15" ht="17.25" spans="1:9">
      <c r="A15" s="13" t="s">
        <v>28</v>
      </c>
      <c r="B15">
        <v>14</v>
      </c>
      <c r="C15">
        <v>1152.56</v>
      </c>
      <c r="D15">
        <v>1</v>
      </c>
      <c r="E15">
        <f t="shared" si="0"/>
        <v>0.0666666666666667</v>
      </c>
      <c r="F15">
        <f t="shared" si="1"/>
        <v>0.0030966600309666</v>
      </c>
      <c r="G15">
        <f t="shared" si="2"/>
        <v>0.00543644991179495</v>
      </c>
      <c r="H15">
        <f t="shared" si="3"/>
        <v>0.853310994276155</v>
      </c>
      <c r="I15">
        <f t="shared" si="4"/>
        <v>5.68873996184103</v>
      </c>
    </row>
    <row r="16" ht="17.25" spans="1:9">
      <c r="A16" s="13" t="s">
        <v>29</v>
      </c>
      <c r="B16">
        <v>77</v>
      </c>
      <c r="C16">
        <v>2499.38</v>
      </c>
      <c r="D16">
        <v>5</v>
      </c>
      <c r="E16">
        <f t="shared" si="0"/>
        <v>0.333333333333333</v>
      </c>
      <c r="F16">
        <f t="shared" si="1"/>
        <v>0.0170316301703163</v>
      </c>
      <c r="G16">
        <f t="shared" si="2"/>
        <v>0.0117891946454346</v>
      </c>
      <c r="H16">
        <f t="shared" si="3"/>
        <v>2.88208248157509</v>
      </c>
      <c r="I16">
        <f t="shared" si="4"/>
        <v>96.0694160525029</v>
      </c>
    </row>
    <row r="17" ht="17.25" spans="1:9">
      <c r="A17" s="13" t="s">
        <v>30</v>
      </c>
      <c r="B17">
        <v>44</v>
      </c>
      <c r="C17">
        <v>51.11</v>
      </c>
      <c r="D17">
        <v>4</v>
      </c>
      <c r="E17">
        <f t="shared" si="0"/>
        <v>0.266666666666667</v>
      </c>
      <c r="F17">
        <f t="shared" si="1"/>
        <v>0.0097323600973236</v>
      </c>
      <c r="G17">
        <f t="shared" si="2"/>
        <v>0.000241078082695773</v>
      </c>
      <c r="H17">
        <f t="shared" si="3"/>
        <v>0.997343818001937</v>
      </c>
      <c r="I17">
        <f t="shared" si="4"/>
        <v>26.5958351467183</v>
      </c>
    </row>
    <row r="18" ht="17.25" spans="1:11">
      <c r="A18" s="13" t="s">
        <v>31</v>
      </c>
      <c r="B18" s="7">
        <v>1095</v>
      </c>
      <c r="C18" s="7">
        <v>7329.93</v>
      </c>
      <c r="D18" s="7">
        <v>13</v>
      </c>
      <c r="E18" s="7">
        <f t="shared" si="0"/>
        <v>0.866666666666667</v>
      </c>
      <c r="F18" s="7">
        <f t="shared" si="1"/>
        <v>0.242203052422031</v>
      </c>
      <c r="G18" s="7">
        <f t="shared" si="2"/>
        <v>0.0345741629953869</v>
      </c>
      <c r="H18" s="7">
        <f t="shared" si="3"/>
        <v>27.6777215417417</v>
      </c>
      <c r="I18" s="7">
        <f t="shared" si="4"/>
        <v>2398.73586695095</v>
      </c>
      <c r="J18" s="7" t="s">
        <v>32</v>
      </c>
      <c r="K18" s="7"/>
    </row>
    <row r="19" ht="17.25" spans="1:9">
      <c r="A19" s="13" t="s">
        <v>33</v>
      </c>
      <c r="B19">
        <v>186</v>
      </c>
      <c r="C19">
        <v>26114</v>
      </c>
      <c r="D19">
        <v>9</v>
      </c>
      <c r="E19">
        <f t="shared" si="0"/>
        <v>0.6</v>
      </c>
      <c r="F19">
        <f t="shared" si="1"/>
        <v>0.0411413404114134</v>
      </c>
      <c r="G19">
        <f t="shared" si="2"/>
        <v>0.123175759176627</v>
      </c>
      <c r="H19">
        <f t="shared" si="3"/>
        <v>16.431709958804</v>
      </c>
      <c r="I19">
        <f t="shared" si="4"/>
        <v>985.902597528243</v>
      </c>
    </row>
    <row r="20" ht="17.25" spans="1:9">
      <c r="A20" s="13" t="s">
        <v>34</v>
      </c>
      <c r="B20">
        <v>235</v>
      </c>
      <c r="C20">
        <v>61.3</v>
      </c>
      <c r="D20">
        <v>5</v>
      </c>
      <c r="E20">
        <f t="shared" si="0"/>
        <v>0.333333333333333</v>
      </c>
      <c r="F20">
        <f t="shared" si="1"/>
        <v>0.0519796505197965</v>
      </c>
      <c r="G20">
        <f t="shared" si="2"/>
        <v>0.000289142760110563</v>
      </c>
      <c r="H20">
        <f t="shared" si="3"/>
        <v>5.22687932799071</v>
      </c>
      <c r="I20">
        <f t="shared" si="4"/>
        <v>174.229310933024</v>
      </c>
    </row>
    <row r="21" ht="17.25" spans="1:11">
      <c r="A21" s="13" t="s">
        <v>35</v>
      </c>
      <c r="B21" s="7">
        <v>281</v>
      </c>
      <c r="C21" s="7">
        <v>17007</v>
      </c>
      <c r="D21" s="7">
        <v>12</v>
      </c>
      <c r="E21" s="7">
        <f t="shared" si="0"/>
        <v>0.8</v>
      </c>
      <c r="F21" s="7">
        <f t="shared" si="1"/>
        <v>0.0621543906215439</v>
      </c>
      <c r="G21" s="7">
        <f t="shared" si="2"/>
        <v>0.0802194277520448</v>
      </c>
      <c r="H21" s="7">
        <f t="shared" si="3"/>
        <v>14.2373818373589</v>
      </c>
      <c r="I21" s="7">
        <f t="shared" si="4"/>
        <v>1138.99054698871</v>
      </c>
      <c r="J21" s="3" t="s">
        <v>32</v>
      </c>
      <c r="K21" s="7"/>
    </row>
    <row r="22" ht="17.25" spans="1:9">
      <c r="A22" s="13" t="s">
        <v>36</v>
      </c>
      <c r="B22">
        <v>2</v>
      </c>
      <c r="C22">
        <v>1520</v>
      </c>
      <c r="D22">
        <v>2</v>
      </c>
      <c r="E22">
        <f t="shared" si="0"/>
        <v>0.133333333333333</v>
      </c>
      <c r="F22">
        <f t="shared" si="1"/>
        <v>0.0004423800044238</v>
      </c>
      <c r="G22">
        <f t="shared" si="2"/>
        <v>0.00716960840730923</v>
      </c>
      <c r="H22">
        <f t="shared" si="3"/>
        <v>0.761198841173303</v>
      </c>
      <c r="I22">
        <f t="shared" si="4"/>
        <v>10.1493178823107</v>
      </c>
    </row>
    <row r="23" ht="17.25" spans="1:11">
      <c r="A23" s="13" t="s">
        <v>37</v>
      </c>
      <c r="B23" s="7">
        <v>166</v>
      </c>
      <c r="C23" s="7">
        <v>18259</v>
      </c>
      <c r="D23" s="7">
        <v>14</v>
      </c>
      <c r="E23" s="7">
        <f t="shared" si="0"/>
        <v>0.933333333333333</v>
      </c>
      <c r="F23" s="7">
        <f t="shared" si="1"/>
        <v>0.0367175403671754</v>
      </c>
      <c r="G23" s="7">
        <f t="shared" si="2"/>
        <v>0.0861249209928021</v>
      </c>
      <c r="H23" s="7">
        <f t="shared" si="3"/>
        <v>12.2842461359977</v>
      </c>
      <c r="I23" s="7">
        <f t="shared" si="4"/>
        <v>1146.52963935979</v>
      </c>
      <c r="J23" s="3" t="s">
        <v>32</v>
      </c>
      <c r="K23" s="7"/>
    </row>
    <row r="24" ht="17.25" spans="1:11">
      <c r="A24" s="13" t="s">
        <v>38</v>
      </c>
      <c r="B24" s="7">
        <v>108</v>
      </c>
      <c r="C24" s="7">
        <v>107917</v>
      </c>
      <c r="D24" s="7">
        <v>11</v>
      </c>
      <c r="E24" s="7">
        <f t="shared" si="0"/>
        <v>0.733333333333333</v>
      </c>
      <c r="F24" s="7">
        <f t="shared" si="1"/>
        <v>0.0238885202388852</v>
      </c>
      <c r="G24" s="7">
        <f t="shared" si="2"/>
        <v>0.509028046376046</v>
      </c>
      <c r="H24" s="7">
        <f t="shared" si="3"/>
        <v>53.2916566614931</v>
      </c>
      <c r="I24" s="7">
        <f t="shared" si="4"/>
        <v>3908.05482184283</v>
      </c>
      <c r="J24" s="3" t="s">
        <v>32</v>
      </c>
      <c r="K24" s="7"/>
    </row>
    <row r="25" ht="17.25" spans="1:9">
      <c r="A25" s="13" t="s">
        <v>39</v>
      </c>
      <c r="B25">
        <v>18</v>
      </c>
      <c r="C25">
        <v>16850</v>
      </c>
      <c r="D25">
        <v>4</v>
      </c>
      <c r="E25">
        <f t="shared" si="0"/>
        <v>0.266666666666667</v>
      </c>
      <c r="F25">
        <f t="shared" si="1"/>
        <v>0.0039814200398142</v>
      </c>
      <c r="G25">
        <f t="shared" si="2"/>
        <v>0.0794788826731319</v>
      </c>
      <c r="H25">
        <f t="shared" si="3"/>
        <v>8.34603027129461</v>
      </c>
      <c r="I25">
        <f t="shared" si="4"/>
        <v>222.560807234523</v>
      </c>
    </row>
    <row r="26" ht="17.25" spans="1:12">
      <c r="A26" s="13" t="s">
        <v>40</v>
      </c>
      <c r="B26" s="7">
        <v>1127</v>
      </c>
      <c r="C26" s="7">
        <v>1798</v>
      </c>
      <c r="D26" s="7">
        <v>7</v>
      </c>
      <c r="E26" s="7">
        <f t="shared" si="0"/>
        <v>0.466666666666667</v>
      </c>
      <c r="F26" s="7">
        <f t="shared" si="1"/>
        <v>0.249281132492811</v>
      </c>
      <c r="G26" s="7">
        <f t="shared" si="2"/>
        <v>0.00848089205022499</v>
      </c>
      <c r="H26" s="7">
        <f t="shared" si="3"/>
        <v>25.7762024543036</v>
      </c>
      <c r="I26" s="7">
        <f t="shared" si="4"/>
        <v>1202.8894478675</v>
      </c>
      <c r="J26" s="3" t="s">
        <v>32</v>
      </c>
      <c r="K26" s="7"/>
      <c r="L26" s="7"/>
    </row>
    <row r="27" ht="17.25" spans="1:9">
      <c r="A27" s="13" t="s">
        <v>41</v>
      </c>
      <c r="B27">
        <v>13</v>
      </c>
      <c r="C27">
        <v>30.53</v>
      </c>
      <c r="D27">
        <v>5</v>
      </c>
      <c r="E27">
        <f t="shared" si="0"/>
        <v>0.333333333333333</v>
      </c>
      <c r="F27">
        <f t="shared" si="1"/>
        <v>0.0028754700287547</v>
      </c>
      <c r="G27">
        <f t="shared" si="2"/>
        <v>0.000144005358338915</v>
      </c>
      <c r="H27">
        <f t="shared" si="3"/>
        <v>0.301947538709362</v>
      </c>
      <c r="I27">
        <f t="shared" si="4"/>
        <v>10.0649179569787</v>
      </c>
    </row>
    <row r="28" ht="17.25" spans="1:9">
      <c r="A28" s="13" t="s">
        <v>42</v>
      </c>
      <c r="B28">
        <v>0</v>
      </c>
      <c r="C28">
        <v>0</v>
      </c>
      <c r="E28">
        <f t="shared" si="0"/>
        <v>0</v>
      </c>
      <c r="F28">
        <f t="shared" si="1"/>
        <v>0</v>
      </c>
      <c r="G28">
        <f t="shared" si="2"/>
        <v>0</v>
      </c>
      <c r="H28">
        <f t="shared" si="3"/>
        <v>0</v>
      </c>
      <c r="I28">
        <f t="shared" si="4"/>
        <v>0</v>
      </c>
    </row>
    <row r="29" ht="17.25" spans="1:9">
      <c r="A29" s="13" t="s">
        <v>43</v>
      </c>
      <c r="B29">
        <v>11</v>
      </c>
      <c r="C29">
        <v>970</v>
      </c>
      <c r="D29">
        <v>2</v>
      </c>
      <c r="E29">
        <f t="shared" si="0"/>
        <v>0.133333333333333</v>
      </c>
      <c r="F29">
        <f t="shared" si="1"/>
        <v>0.0024330900243309</v>
      </c>
      <c r="G29">
        <f t="shared" si="2"/>
        <v>0.00457534220729602</v>
      </c>
      <c r="H29">
        <f t="shared" si="3"/>
        <v>0.700843223162692</v>
      </c>
      <c r="I29">
        <f t="shared" si="4"/>
        <v>9.34457630883589</v>
      </c>
    </row>
    <row r="30" ht="17.25" spans="1:9">
      <c r="A30" s="13" t="s">
        <v>44</v>
      </c>
      <c r="B30">
        <v>0</v>
      </c>
      <c r="C30">
        <v>0</v>
      </c>
      <c r="E30">
        <f t="shared" si="0"/>
        <v>0</v>
      </c>
      <c r="F30">
        <f t="shared" si="1"/>
        <v>0</v>
      </c>
      <c r="G30">
        <f t="shared" si="2"/>
        <v>0</v>
      </c>
      <c r="H30">
        <f t="shared" si="3"/>
        <v>0</v>
      </c>
      <c r="I30">
        <f t="shared" si="4"/>
        <v>0</v>
      </c>
    </row>
    <row r="31" ht="17.25" spans="1:9">
      <c r="A31" s="13" t="s">
        <v>45</v>
      </c>
      <c r="B31">
        <v>0</v>
      </c>
      <c r="C31">
        <v>0</v>
      </c>
      <c r="E31">
        <f t="shared" si="0"/>
        <v>0</v>
      </c>
      <c r="F31">
        <f t="shared" si="1"/>
        <v>0</v>
      </c>
      <c r="G31">
        <f t="shared" si="2"/>
        <v>0</v>
      </c>
      <c r="H31">
        <f t="shared" si="3"/>
        <v>0</v>
      </c>
      <c r="I31">
        <f t="shared" si="4"/>
        <v>0</v>
      </c>
    </row>
    <row r="32" ht="17.25" spans="1:9">
      <c r="A32" s="13" t="s">
        <v>46</v>
      </c>
      <c r="B32">
        <v>3</v>
      </c>
      <c r="C32">
        <v>32.55</v>
      </c>
      <c r="D32">
        <v>2</v>
      </c>
      <c r="E32">
        <f t="shared" si="0"/>
        <v>0.133333333333333</v>
      </c>
      <c r="F32">
        <f t="shared" si="1"/>
        <v>0.0006635700066357</v>
      </c>
      <c r="G32">
        <f t="shared" si="2"/>
        <v>0.000153533390564418</v>
      </c>
      <c r="H32">
        <f t="shared" si="3"/>
        <v>0.0817103397200118</v>
      </c>
      <c r="I32">
        <f t="shared" si="4"/>
        <v>1.08947119626682</v>
      </c>
    </row>
    <row r="33" ht="17.25" spans="1:9">
      <c r="A33" s="13" t="s">
        <v>47</v>
      </c>
      <c r="B33">
        <v>1</v>
      </c>
      <c r="C33">
        <v>287.9</v>
      </c>
      <c r="D33">
        <v>1</v>
      </c>
      <c r="E33">
        <f t="shared" si="0"/>
        <v>0.0666666666666667</v>
      </c>
      <c r="F33">
        <f t="shared" si="1"/>
        <v>0.0002211900022119</v>
      </c>
      <c r="G33">
        <f t="shared" si="2"/>
        <v>0.001357980434516</v>
      </c>
      <c r="H33">
        <f t="shared" si="3"/>
        <v>0.15791704367279</v>
      </c>
      <c r="I33">
        <f t="shared" si="4"/>
        <v>1.05278029115194</v>
      </c>
    </row>
    <row r="34" ht="17.25" spans="1:9">
      <c r="A34" s="13" t="s">
        <v>48</v>
      </c>
      <c r="B34">
        <v>1</v>
      </c>
      <c r="C34">
        <v>1337.1</v>
      </c>
      <c r="D34">
        <v>1</v>
      </c>
      <c r="E34">
        <f t="shared" si="0"/>
        <v>0.0666666666666667</v>
      </c>
      <c r="F34">
        <f t="shared" si="1"/>
        <v>0.0002211900022119</v>
      </c>
      <c r="G34">
        <f t="shared" si="2"/>
        <v>0.00630689697461393</v>
      </c>
      <c r="H34">
        <f t="shared" si="3"/>
        <v>0.652808697682583</v>
      </c>
      <c r="I34">
        <f t="shared" si="4"/>
        <v>4.35205798455055</v>
      </c>
    </row>
    <row r="35" ht="17.25" spans="1:9">
      <c r="A35" s="13" t="s">
        <v>49</v>
      </c>
      <c r="B35">
        <v>2</v>
      </c>
      <c r="C35">
        <v>1499.8</v>
      </c>
      <c r="D35">
        <v>1</v>
      </c>
      <c r="E35">
        <f t="shared" si="0"/>
        <v>0.0666666666666667</v>
      </c>
      <c r="F35">
        <f t="shared" si="1"/>
        <v>0.0004423800044238</v>
      </c>
      <c r="G35">
        <f t="shared" si="2"/>
        <v>0.0070743280850542</v>
      </c>
      <c r="H35">
        <f t="shared" si="3"/>
        <v>0.7516708089478</v>
      </c>
      <c r="I35">
        <f t="shared" si="4"/>
        <v>5.01113872631866</v>
      </c>
    </row>
    <row r="36" ht="17.25" spans="1:9">
      <c r="A36" s="13" t="s">
        <v>50</v>
      </c>
      <c r="B36">
        <v>0</v>
      </c>
      <c r="C36">
        <v>0</v>
      </c>
      <c r="E36">
        <f t="shared" si="0"/>
        <v>0</v>
      </c>
      <c r="F36">
        <f t="shared" si="1"/>
        <v>0</v>
      </c>
      <c r="G36">
        <f t="shared" si="2"/>
        <v>0</v>
      </c>
      <c r="H36">
        <f t="shared" si="3"/>
        <v>0</v>
      </c>
      <c r="I36">
        <f t="shared" si="4"/>
        <v>0</v>
      </c>
    </row>
    <row r="37" ht="17.25" spans="1:9">
      <c r="A37" s="13" t="s">
        <v>51</v>
      </c>
      <c r="B37">
        <v>2</v>
      </c>
      <c r="C37">
        <v>801.14</v>
      </c>
      <c r="D37">
        <v>1</v>
      </c>
      <c r="E37">
        <f t="shared" si="0"/>
        <v>0.0666666666666667</v>
      </c>
      <c r="F37">
        <f t="shared" si="1"/>
        <v>0.0004423800044238</v>
      </c>
      <c r="G37">
        <f t="shared" si="2"/>
        <v>0.0037788553154156</v>
      </c>
      <c r="H37">
        <f t="shared" si="3"/>
        <v>0.42212353198394</v>
      </c>
      <c r="I37">
        <f t="shared" si="4"/>
        <v>2.81415687989293</v>
      </c>
    </row>
    <row r="38" ht="17.25" spans="1:9">
      <c r="A38" s="13" t="s">
        <v>52</v>
      </c>
      <c r="B38">
        <v>399</v>
      </c>
      <c r="C38">
        <v>370.41</v>
      </c>
      <c r="D38">
        <v>6</v>
      </c>
      <c r="E38">
        <f t="shared" si="0"/>
        <v>0.4</v>
      </c>
      <c r="F38">
        <f t="shared" si="1"/>
        <v>0.0882548108825481</v>
      </c>
      <c r="G38">
        <f t="shared" si="2"/>
        <v>0.00174716753299435</v>
      </c>
      <c r="H38">
        <f t="shared" si="3"/>
        <v>9.00019784155424</v>
      </c>
      <c r="I38">
        <f t="shared" si="4"/>
        <v>360.00791366217</v>
      </c>
    </row>
    <row r="39" ht="17.25" spans="1:9">
      <c r="A39" s="13" t="s">
        <v>53</v>
      </c>
      <c r="B39">
        <v>2</v>
      </c>
      <c r="C39">
        <v>1561.85</v>
      </c>
      <c r="D39">
        <v>1</v>
      </c>
      <c r="E39">
        <f t="shared" si="0"/>
        <v>0.0666666666666667</v>
      </c>
      <c r="F39">
        <f t="shared" si="1"/>
        <v>0.0004423800044238</v>
      </c>
      <c r="G39">
        <f t="shared" si="2"/>
        <v>0.00736700848089205</v>
      </c>
      <c r="H39">
        <f t="shared" si="3"/>
        <v>0.780938848531585</v>
      </c>
      <c r="I39">
        <f t="shared" si="4"/>
        <v>5.20625899021057</v>
      </c>
    </row>
    <row r="40" ht="17.25" spans="1:9">
      <c r="A40" s="13" t="s">
        <v>55</v>
      </c>
      <c r="B40">
        <v>190</v>
      </c>
      <c r="C40">
        <v>168.9</v>
      </c>
      <c r="D40">
        <v>3</v>
      </c>
      <c r="E40">
        <f t="shared" si="0"/>
        <v>0.2</v>
      </c>
      <c r="F40">
        <f t="shared" si="1"/>
        <v>0.042026100420261</v>
      </c>
      <c r="G40">
        <f t="shared" si="2"/>
        <v>0.000796675565785874</v>
      </c>
      <c r="H40">
        <f t="shared" si="3"/>
        <v>4.28227759860469</v>
      </c>
      <c r="I40">
        <f t="shared" si="4"/>
        <v>85.6455519720937</v>
      </c>
    </row>
    <row r="41" ht="17.25" spans="1:9">
      <c r="A41" s="13" t="s">
        <v>56</v>
      </c>
      <c r="B41">
        <v>102</v>
      </c>
      <c r="C41">
        <v>120.14</v>
      </c>
      <c r="D41">
        <v>4</v>
      </c>
      <c r="E41">
        <f t="shared" si="0"/>
        <v>0.266666666666667</v>
      </c>
      <c r="F41">
        <f t="shared" si="1"/>
        <v>0.0225613802256138</v>
      </c>
      <c r="G41">
        <f t="shared" si="2"/>
        <v>0.000566682075035612</v>
      </c>
      <c r="H41">
        <f t="shared" si="3"/>
        <v>2.31280623006494</v>
      </c>
      <c r="I41">
        <f t="shared" si="4"/>
        <v>61.6748328017318</v>
      </c>
    </row>
    <row r="42" ht="17.25" spans="1:5">
      <c r="A42" s="13" t="s">
        <v>57</v>
      </c>
      <c r="B42">
        <v>1</v>
      </c>
      <c r="C42">
        <v>8</v>
      </c>
      <c r="D42">
        <v>1</v>
      </c>
      <c r="E42">
        <f t="shared" si="0"/>
        <v>0.0666666666666667</v>
      </c>
    </row>
    <row r="43" ht="17.25" spans="1:1">
      <c r="A43" s="13" t="s">
        <v>58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C20" sqref="C20"/>
    </sheetView>
  </sheetViews>
  <sheetFormatPr defaultColWidth="8.89166666666667" defaultRowHeight="13.5"/>
  <cols>
    <col min="1" max="1" width="13.125" customWidth="1"/>
    <col min="5" max="9" width="12.8916666666667"/>
    <col min="13" max="13" width="14.1083333333333"/>
    <col min="14" max="16" width="12.8916666666667"/>
  </cols>
  <sheetData>
    <row r="1" ht="17.25" spans="1:16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3" t="s">
        <v>9</v>
      </c>
      <c r="L1" t="s">
        <v>10</v>
      </c>
      <c r="M1" s="6" t="s">
        <v>11</v>
      </c>
      <c r="N1" s="6" t="s">
        <v>12</v>
      </c>
      <c r="O1" s="6" t="s">
        <v>13</v>
      </c>
      <c r="P1" s="6" t="s">
        <v>14</v>
      </c>
    </row>
    <row r="2" ht="17.25" spans="1:16">
      <c r="A2" s="12" t="s">
        <v>17</v>
      </c>
      <c r="B2">
        <v>1</v>
      </c>
      <c r="C2">
        <v>2.94</v>
      </c>
      <c r="D2">
        <v>1</v>
      </c>
      <c r="E2">
        <f t="shared" ref="E2:E15" si="0">D2/4</f>
        <v>0.25</v>
      </c>
      <c r="F2">
        <f t="shared" ref="F2:F15" si="1">B2/131</f>
        <v>0.00763358778625954</v>
      </c>
      <c r="G2">
        <f t="shared" ref="G2:G15" si="2">C2/9170</f>
        <v>0.000320610687022901</v>
      </c>
      <c r="H2">
        <f t="shared" ref="H2:H15" si="3">(F2+G2)*100</f>
        <v>0.795419847328244</v>
      </c>
      <c r="I2">
        <f t="shared" ref="I2:I15" si="4">H2*E2*100</f>
        <v>19.8854961832061</v>
      </c>
      <c r="K2">
        <v>9170</v>
      </c>
      <c r="L2">
        <v>131</v>
      </c>
      <c r="M2">
        <f t="shared" ref="M2:M15" si="5">F2*LN(F2)</f>
        <v>-0.0372152467419935</v>
      </c>
      <c r="P2">
        <f>F2*F2</f>
        <v>5.82716624905308e-5</v>
      </c>
    </row>
    <row r="3" ht="17.25" spans="1:16">
      <c r="A3" s="12" t="s">
        <v>22</v>
      </c>
      <c r="B3">
        <v>9</v>
      </c>
      <c r="C3">
        <v>38.97</v>
      </c>
      <c r="D3">
        <v>1</v>
      </c>
      <c r="E3">
        <f t="shared" si="0"/>
        <v>0.25</v>
      </c>
      <c r="F3">
        <f t="shared" si="1"/>
        <v>0.0687022900763359</v>
      </c>
      <c r="G3">
        <f t="shared" si="2"/>
        <v>0.00424972737186478</v>
      </c>
      <c r="H3">
        <f t="shared" si="3"/>
        <v>7.29520174482006</v>
      </c>
      <c r="I3">
        <f t="shared" si="4"/>
        <v>182.380043620502</v>
      </c>
      <c r="M3">
        <f t="shared" si="5"/>
        <v>-0.183982860402934</v>
      </c>
      <c r="P3">
        <f t="shared" ref="P3:P15" si="6">F3*F3</f>
        <v>0.004720004661733</v>
      </c>
    </row>
    <row r="4" ht="17.25" spans="1:16">
      <c r="A4" s="12" t="s">
        <v>30</v>
      </c>
      <c r="B4">
        <v>2</v>
      </c>
      <c r="C4">
        <v>6.19</v>
      </c>
      <c r="D4">
        <v>1</v>
      </c>
      <c r="E4">
        <f t="shared" si="0"/>
        <v>0.25</v>
      </c>
      <c r="F4">
        <f t="shared" si="1"/>
        <v>0.0152671755725191</v>
      </c>
      <c r="G4">
        <f t="shared" si="2"/>
        <v>0.000675027262813522</v>
      </c>
      <c r="H4">
        <f t="shared" si="3"/>
        <v>1.59422028353326</v>
      </c>
      <c r="I4">
        <f t="shared" si="4"/>
        <v>39.8555070883315</v>
      </c>
      <c r="M4">
        <f t="shared" si="5"/>
        <v>-0.0638480937807818</v>
      </c>
      <c r="P4">
        <f t="shared" si="6"/>
        <v>0.000233086649962123</v>
      </c>
    </row>
    <row r="5" ht="17.25" spans="1:16">
      <c r="A5" s="12" t="s">
        <v>31</v>
      </c>
      <c r="B5">
        <v>96</v>
      </c>
      <c r="C5">
        <v>2853.69</v>
      </c>
      <c r="D5">
        <v>4</v>
      </c>
      <c r="E5">
        <f t="shared" si="0"/>
        <v>1</v>
      </c>
      <c r="F5">
        <f t="shared" si="1"/>
        <v>0.732824427480916</v>
      </c>
      <c r="G5">
        <f t="shared" si="2"/>
        <v>0.311198473282443</v>
      </c>
      <c r="H5">
        <f t="shared" si="3"/>
        <v>104.402290076336</v>
      </c>
      <c r="I5">
        <f t="shared" si="4"/>
        <v>10440.2290076336</v>
      </c>
      <c r="J5" s="3" t="s">
        <v>32</v>
      </c>
      <c r="M5">
        <f t="shared" si="5"/>
        <v>-0.227797836995407</v>
      </c>
      <c r="P5">
        <f t="shared" si="6"/>
        <v>0.537031641512732</v>
      </c>
    </row>
    <row r="6" ht="17.25" spans="1:16">
      <c r="A6" s="12" t="s">
        <v>34</v>
      </c>
      <c r="B6">
        <v>2</v>
      </c>
      <c r="C6">
        <v>2.69</v>
      </c>
      <c r="D6">
        <v>1</v>
      </c>
      <c r="E6">
        <f t="shared" si="0"/>
        <v>0.25</v>
      </c>
      <c r="F6">
        <f t="shared" si="1"/>
        <v>0.0152671755725191</v>
      </c>
      <c r="G6">
        <f t="shared" si="2"/>
        <v>0.000293347873500545</v>
      </c>
      <c r="H6">
        <f t="shared" si="3"/>
        <v>1.55605234460196</v>
      </c>
      <c r="I6">
        <f t="shared" si="4"/>
        <v>38.9013086150491</v>
      </c>
      <c r="M6">
        <f t="shared" si="5"/>
        <v>-0.0638480937807818</v>
      </c>
      <c r="P6">
        <f t="shared" si="6"/>
        <v>0.000233086649962123</v>
      </c>
    </row>
    <row r="7" ht="17.25" spans="1:16">
      <c r="A7" s="12" t="s">
        <v>35</v>
      </c>
      <c r="B7">
        <v>2</v>
      </c>
      <c r="C7">
        <v>53.69</v>
      </c>
      <c r="D7">
        <v>2</v>
      </c>
      <c r="E7">
        <f t="shared" si="0"/>
        <v>0.5</v>
      </c>
      <c r="F7">
        <f t="shared" si="1"/>
        <v>0.0152671755725191</v>
      </c>
      <c r="G7">
        <f t="shared" si="2"/>
        <v>0.00585496183206107</v>
      </c>
      <c r="H7">
        <f t="shared" si="3"/>
        <v>2.11221374045802</v>
      </c>
      <c r="I7">
        <f t="shared" si="4"/>
        <v>105.610687022901</v>
      </c>
      <c r="M7">
        <f t="shared" si="5"/>
        <v>-0.0638480937807818</v>
      </c>
      <c r="P7">
        <f t="shared" si="6"/>
        <v>0.000233086649962123</v>
      </c>
    </row>
    <row r="8" ht="17.25" spans="1:16">
      <c r="A8" s="12" t="s">
        <v>42</v>
      </c>
      <c r="B8">
        <v>1</v>
      </c>
      <c r="C8">
        <v>1369.4</v>
      </c>
      <c r="D8">
        <v>1</v>
      </c>
      <c r="E8">
        <f t="shared" si="0"/>
        <v>0.25</v>
      </c>
      <c r="F8">
        <f t="shared" si="1"/>
        <v>0.00763358778625954</v>
      </c>
      <c r="G8">
        <f t="shared" si="2"/>
        <v>0.149334787350055</v>
      </c>
      <c r="H8">
        <f t="shared" si="3"/>
        <v>15.6968375136314</v>
      </c>
      <c r="I8">
        <f t="shared" si="4"/>
        <v>392.420937840785</v>
      </c>
      <c r="M8">
        <f t="shared" si="5"/>
        <v>-0.0372152467419935</v>
      </c>
      <c r="P8">
        <f t="shared" si="6"/>
        <v>5.82716624905308e-5</v>
      </c>
    </row>
    <row r="9" ht="17.25" spans="1:16">
      <c r="A9" s="12" t="s">
        <v>37</v>
      </c>
      <c r="B9">
        <v>1</v>
      </c>
      <c r="C9">
        <v>930</v>
      </c>
      <c r="D9">
        <v>1</v>
      </c>
      <c r="E9">
        <f t="shared" si="0"/>
        <v>0.25</v>
      </c>
      <c r="F9">
        <f t="shared" si="1"/>
        <v>0.00763358778625954</v>
      </c>
      <c r="G9">
        <f t="shared" si="2"/>
        <v>0.101417666303162</v>
      </c>
      <c r="H9">
        <f t="shared" si="3"/>
        <v>10.9051254089422</v>
      </c>
      <c r="I9">
        <f t="shared" si="4"/>
        <v>272.628135223555</v>
      </c>
      <c r="M9">
        <f t="shared" si="5"/>
        <v>-0.0372152467419935</v>
      </c>
      <c r="P9">
        <f t="shared" si="6"/>
        <v>5.82716624905308e-5</v>
      </c>
    </row>
    <row r="10" ht="17.25" spans="1:16">
      <c r="A10" s="12" t="s">
        <v>38</v>
      </c>
      <c r="B10">
        <v>2</v>
      </c>
      <c r="C10">
        <v>1715</v>
      </c>
      <c r="D10">
        <v>2</v>
      </c>
      <c r="E10">
        <f t="shared" si="0"/>
        <v>0.5</v>
      </c>
      <c r="F10">
        <f t="shared" si="1"/>
        <v>0.0152671755725191</v>
      </c>
      <c r="G10">
        <f t="shared" si="2"/>
        <v>0.187022900763359</v>
      </c>
      <c r="H10">
        <f t="shared" si="3"/>
        <v>20.2290076335878</v>
      </c>
      <c r="I10">
        <f t="shared" si="4"/>
        <v>1011.45038167939</v>
      </c>
      <c r="J10" s="3" t="s">
        <v>32</v>
      </c>
      <c r="M10">
        <f t="shared" si="5"/>
        <v>-0.0638480937807818</v>
      </c>
      <c r="P10">
        <f t="shared" si="6"/>
        <v>0.000233086649962123</v>
      </c>
    </row>
    <row r="11" ht="17.25" spans="1:16">
      <c r="A11" s="12" t="s">
        <v>40</v>
      </c>
      <c r="B11">
        <v>5</v>
      </c>
      <c r="C11">
        <v>8.42</v>
      </c>
      <c r="D11">
        <v>1</v>
      </c>
      <c r="E11">
        <f t="shared" si="0"/>
        <v>0.25</v>
      </c>
      <c r="F11">
        <f t="shared" si="1"/>
        <v>0.0381679389312977</v>
      </c>
      <c r="G11">
        <f t="shared" si="2"/>
        <v>0.000918211559432934</v>
      </c>
      <c r="H11">
        <f t="shared" si="3"/>
        <v>3.90861504907306</v>
      </c>
      <c r="I11">
        <f t="shared" si="4"/>
        <v>97.7153762268266</v>
      </c>
      <c r="M11">
        <f t="shared" si="5"/>
        <v>-0.124647305754468</v>
      </c>
      <c r="P11">
        <f t="shared" si="6"/>
        <v>0.00145679156226327</v>
      </c>
    </row>
    <row r="12" ht="17.25" spans="1:16">
      <c r="A12" s="12" t="s">
        <v>41</v>
      </c>
      <c r="B12">
        <v>1</v>
      </c>
      <c r="C12">
        <v>1.92</v>
      </c>
      <c r="D12">
        <v>1</v>
      </c>
      <c r="E12">
        <f t="shared" si="0"/>
        <v>0.25</v>
      </c>
      <c r="F12">
        <f t="shared" si="1"/>
        <v>0.00763358778625954</v>
      </c>
      <c r="G12">
        <f t="shared" si="2"/>
        <v>0.00020937840785169</v>
      </c>
      <c r="H12">
        <f t="shared" si="3"/>
        <v>0.784296619411123</v>
      </c>
      <c r="I12">
        <f t="shared" si="4"/>
        <v>19.6074154852781</v>
      </c>
      <c r="M12">
        <f t="shared" si="5"/>
        <v>-0.0372152467419935</v>
      </c>
      <c r="P12">
        <f t="shared" si="6"/>
        <v>5.82716624905308e-5</v>
      </c>
    </row>
    <row r="13" ht="17.25" spans="1:16">
      <c r="A13" s="12" t="s">
        <v>43</v>
      </c>
      <c r="B13">
        <v>1</v>
      </c>
      <c r="C13">
        <v>234.82</v>
      </c>
      <c r="D13">
        <v>1</v>
      </c>
      <c r="E13">
        <f t="shared" si="0"/>
        <v>0.25</v>
      </c>
      <c r="F13">
        <f t="shared" si="1"/>
        <v>0.00763358778625954</v>
      </c>
      <c r="G13">
        <f t="shared" si="2"/>
        <v>0.0256074154852781</v>
      </c>
      <c r="H13">
        <f t="shared" si="3"/>
        <v>3.32410032715376</v>
      </c>
      <c r="I13">
        <f t="shared" si="4"/>
        <v>83.1025081788441</v>
      </c>
      <c r="M13">
        <f t="shared" si="5"/>
        <v>-0.0372152467419935</v>
      </c>
      <c r="P13">
        <f t="shared" si="6"/>
        <v>5.82716624905308e-5</v>
      </c>
    </row>
    <row r="14" ht="17.25" spans="1:16">
      <c r="A14" s="12" t="s">
        <v>44</v>
      </c>
      <c r="B14">
        <v>5</v>
      </c>
      <c r="C14">
        <v>1932.38</v>
      </c>
      <c r="D14">
        <v>2</v>
      </c>
      <c r="E14">
        <f t="shared" si="0"/>
        <v>0.5</v>
      </c>
      <c r="F14">
        <f t="shared" si="1"/>
        <v>0.0381679389312977</v>
      </c>
      <c r="G14">
        <f t="shared" si="2"/>
        <v>0.210728462377317</v>
      </c>
      <c r="H14">
        <f t="shared" si="3"/>
        <v>24.8896401308615</v>
      </c>
      <c r="I14">
        <f t="shared" si="4"/>
        <v>1244.48200654308</v>
      </c>
      <c r="J14" s="3" t="s">
        <v>32</v>
      </c>
      <c r="M14">
        <f t="shared" si="5"/>
        <v>-0.124647305754468</v>
      </c>
      <c r="P14">
        <f t="shared" si="6"/>
        <v>0.00145679156226327</v>
      </c>
    </row>
    <row r="15" ht="17.25" spans="1:16">
      <c r="A15" s="12" t="s">
        <v>53</v>
      </c>
      <c r="B15">
        <v>3</v>
      </c>
      <c r="C15">
        <v>20.28</v>
      </c>
      <c r="D15">
        <v>1</v>
      </c>
      <c r="E15">
        <f t="shared" si="0"/>
        <v>0.25</v>
      </c>
      <c r="F15">
        <f t="shared" si="1"/>
        <v>0.0229007633587786</v>
      </c>
      <c r="G15">
        <f t="shared" si="2"/>
        <v>0.00221155943293348</v>
      </c>
      <c r="H15">
        <f t="shared" si="3"/>
        <v>2.51123227917121</v>
      </c>
      <c r="I15">
        <f t="shared" si="4"/>
        <v>62.7808069792803</v>
      </c>
      <c r="M15">
        <f t="shared" si="5"/>
        <v>-0.086486680180146</v>
      </c>
      <c r="P15">
        <f t="shared" si="6"/>
        <v>0.000524444962414778</v>
      </c>
    </row>
    <row r="16" spans="16:16">
      <c r="P16">
        <v>0.5464</v>
      </c>
    </row>
    <row r="17" spans="13:16">
      <c r="M17" s="6">
        <v>1.189</v>
      </c>
      <c r="N17" s="6">
        <f>13/LN(131)</f>
        <v>2.66655873355787</v>
      </c>
      <c r="O17" s="6">
        <f>1.189/LN(14)</f>
        <v>0.450539663029352</v>
      </c>
      <c r="P17" s="6">
        <f>1-0.5464</f>
        <v>0.4536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A2" sqref="A2:A14"/>
    </sheetView>
  </sheetViews>
  <sheetFormatPr defaultColWidth="8.89166666666667" defaultRowHeight="13.5"/>
  <cols>
    <col min="6" max="9" width="12.8916666666667"/>
    <col min="13" max="13" width="14.1083333333333"/>
    <col min="14" max="16" width="12.8916666666667"/>
  </cols>
  <sheetData>
    <row r="1" ht="17.25" spans="1:16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3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ht="17.25" spans="1:16">
      <c r="A2" s="12" t="s">
        <v>15</v>
      </c>
      <c r="B2">
        <v>5</v>
      </c>
      <c r="C2">
        <v>11.54</v>
      </c>
      <c r="D2">
        <v>1</v>
      </c>
      <c r="E2">
        <f t="shared" ref="E2:E14" si="0">D2/4</f>
        <v>0.25</v>
      </c>
      <c r="F2">
        <f t="shared" ref="F2:F14" si="1">B2/293</f>
        <v>0.0170648464163823</v>
      </c>
      <c r="G2">
        <f t="shared" ref="G2:G14" si="2">C2/11817</f>
        <v>0.000976559194380976</v>
      </c>
      <c r="H2">
        <f t="shared" ref="H2:H14" si="3">(F2+G2)*100</f>
        <v>1.80414056107632</v>
      </c>
      <c r="I2">
        <f t="shared" ref="I2:I14" si="4">H2*100*E2</f>
        <v>45.1035140269081</v>
      </c>
      <c r="K2">
        <v>11817</v>
      </c>
      <c r="L2">
        <v>293</v>
      </c>
      <c r="M2">
        <f>F2*LN(F2)</f>
        <v>-0.0694664623990267</v>
      </c>
      <c r="P2">
        <f>F2*F2</f>
        <v>0.000291208983214714</v>
      </c>
    </row>
    <row r="3" ht="17.25" spans="1:16">
      <c r="A3" s="12" t="s">
        <v>22</v>
      </c>
      <c r="B3">
        <v>1</v>
      </c>
      <c r="C3">
        <v>0.27</v>
      </c>
      <c r="D3">
        <v>1</v>
      </c>
      <c r="E3">
        <f t="shared" si="0"/>
        <v>0.25</v>
      </c>
      <c r="F3">
        <f t="shared" si="1"/>
        <v>0.00341296928327645</v>
      </c>
      <c r="G3">
        <f t="shared" si="2"/>
        <v>2.28484386900229e-5</v>
      </c>
      <c r="H3">
        <f t="shared" si="3"/>
        <v>0.343581772196647</v>
      </c>
      <c r="I3">
        <f t="shared" si="4"/>
        <v>8.58954430491618</v>
      </c>
      <c r="M3">
        <f t="shared" ref="M3:M14" si="5">F3*LN(F3)</f>
        <v>-0.0193862546382835</v>
      </c>
      <c r="P3">
        <f t="shared" ref="P3:P14" si="6">F3*F3</f>
        <v>1.16483593285886e-5</v>
      </c>
    </row>
    <row r="4" ht="17.25" spans="1:16">
      <c r="A4" s="12" t="s">
        <v>23</v>
      </c>
      <c r="B4">
        <v>1</v>
      </c>
      <c r="C4">
        <v>390.24</v>
      </c>
      <c r="D4">
        <v>1</v>
      </c>
      <c r="E4">
        <f t="shared" si="0"/>
        <v>0.25</v>
      </c>
      <c r="F4">
        <f t="shared" si="1"/>
        <v>0.00341296928327645</v>
      </c>
      <c r="G4">
        <f t="shared" si="2"/>
        <v>0.033023610053313</v>
      </c>
      <c r="H4">
        <f t="shared" si="3"/>
        <v>3.64365793365895</v>
      </c>
      <c r="I4">
        <f t="shared" si="4"/>
        <v>91.0914483414737</v>
      </c>
      <c r="M4">
        <f t="shared" si="5"/>
        <v>-0.0193862546382835</v>
      </c>
      <c r="P4">
        <f t="shared" si="6"/>
        <v>1.16483593285886e-5</v>
      </c>
    </row>
    <row r="5" ht="17.25" spans="1:16">
      <c r="A5" s="12" t="s">
        <v>25</v>
      </c>
      <c r="B5">
        <v>20</v>
      </c>
      <c r="C5">
        <v>369.26</v>
      </c>
      <c r="D5">
        <v>3</v>
      </c>
      <c r="E5">
        <f t="shared" si="0"/>
        <v>0.75</v>
      </c>
      <c r="F5">
        <f t="shared" si="1"/>
        <v>0.068259385665529</v>
      </c>
      <c r="G5">
        <f t="shared" si="2"/>
        <v>0.0312482017432512</v>
      </c>
      <c r="H5">
        <f t="shared" si="3"/>
        <v>9.95075874087803</v>
      </c>
      <c r="I5">
        <f t="shared" si="4"/>
        <v>746.306905565852</v>
      </c>
      <c r="M5">
        <f t="shared" si="5"/>
        <v>-0.183238248154476</v>
      </c>
      <c r="P5">
        <f t="shared" si="6"/>
        <v>0.00465934373143543</v>
      </c>
    </row>
    <row r="6" ht="17.25" spans="1:16">
      <c r="A6" s="12" t="s">
        <v>30</v>
      </c>
      <c r="B6">
        <v>7</v>
      </c>
      <c r="C6">
        <v>42.5</v>
      </c>
      <c r="D6">
        <v>3</v>
      </c>
      <c r="E6">
        <f t="shared" si="0"/>
        <v>0.75</v>
      </c>
      <c r="F6">
        <f t="shared" si="1"/>
        <v>0.0238907849829352</v>
      </c>
      <c r="G6">
        <f t="shared" si="2"/>
        <v>0.0035965134975036</v>
      </c>
      <c r="H6">
        <f t="shared" si="3"/>
        <v>2.74872984804387</v>
      </c>
      <c r="I6">
        <f t="shared" si="4"/>
        <v>206.154738603291</v>
      </c>
      <c r="M6">
        <f t="shared" si="5"/>
        <v>-0.0892144615007928</v>
      </c>
      <c r="P6">
        <f t="shared" si="6"/>
        <v>0.00057076960710084</v>
      </c>
    </row>
    <row r="7" ht="17.25" spans="1:16">
      <c r="A7" s="12" t="s">
        <v>31</v>
      </c>
      <c r="B7">
        <v>182</v>
      </c>
      <c r="C7">
        <v>3514</v>
      </c>
      <c r="D7">
        <v>4</v>
      </c>
      <c r="E7">
        <f t="shared" si="0"/>
        <v>1</v>
      </c>
      <c r="F7">
        <f t="shared" si="1"/>
        <v>0.621160409556314</v>
      </c>
      <c r="G7">
        <f t="shared" si="2"/>
        <v>0.297368198358297</v>
      </c>
      <c r="H7">
        <f t="shared" si="3"/>
        <v>91.8528607914611</v>
      </c>
      <c r="I7">
        <f t="shared" si="4"/>
        <v>9185.28607914611</v>
      </c>
      <c r="J7" s="3" t="s">
        <v>32</v>
      </c>
      <c r="M7">
        <f t="shared" si="5"/>
        <v>-0.295775419089179</v>
      </c>
      <c r="P7">
        <f t="shared" si="6"/>
        <v>0.385840254400168</v>
      </c>
    </row>
    <row r="8" ht="17.25" spans="1:16">
      <c r="A8" s="12" t="s">
        <v>33</v>
      </c>
      <c r="B8">
        <v>10</v>
      </c>
      <c r="C8">
        <v>262.01</v>
      </c>
      <c r="D8">
        <v>3</v>
      </c>
      <c r="E8">
        <f t="shared" si="0"/>
        <v>0.75</v>
      </c>
      <c r="F8">
        <f t="shared" si="1"/>
        <v>0.0341296928327645</v>
      </c>
      <c r="G8">
        <f t="shared" si="2"/>
        <v>0.0221722941524922</v>
      </c>
      <c r="H8">
        <f t="shared" si="3"/>
        <v>5.63019869852567</v>
      </c>
      <c r="I8">
        <f t="shared" si="4"/>
        <v>422.264902389425</v>
      </c>
      <c r="M8">
        <f t="shared" si="5"/>
        <v>-0.115276024437646</v>
      </c>
      <c r="P8">
        <f t="shared" si="6"/>
        <v>0.00116483593285886</v>
      </c>
    </row>
    <row r="9" ht="17.25" spans="1:16">
      <c r="A9" s="12" t="s">
        <v>35</v>
      </c>
      <c r="B9">
        <v>15</v>
      </c>
      <c r="C9">
        <v>362.19</v>
      </c>
      <c r="D9">
        <v>2</v>
      </c>
      <c r="E9">
        <f t="shared" si="0"/>
        <v>0.5</v>
      </c>
      <c r="F9">
        <f t="shared" si="1"/>
        <v>0.0511945392491468</v>
      </c>
      <c r="G9">
        <f t="shared" si="2"/>
        <v>0.0306499111449606</v>
      </c>
      <c r="H9">
        <f t="shared" si="3"/>
        <v>8.18444503941074</v>
      </c>
      <c r="I9">
        <f t="shared" si="4"/>
        <v>409.222251970537</v>
      </c>
      <c r="M9">
        <f t="shared" si="5"/>
        <v>-0.152156437265266</v>
      </c>
      <c r="P9">
        <f t="shared" si="6"/>
        <v>0.00262088084893243</v>
      </c>
    </row>
    <row r="10" ht="17.25" spans="1:16">
      <c r="A10" s="12" t="s">
        <v>37</v>
      </c>
      <c r="B10">
        <v>5</v>
      </c>
      <c r="C10">
        <v>1477.78</v>
      </c>
      <c r="D10">
        <v>1</v>
      </c>
      <c r="E10">
        <f t="shared" si="0"/>
        <v>0.25</v>
      </c>
      <c r="F10">
        <f t="shared" si="1"/>
        <v>0.0170648464163823</v>
      </c>
      <c r="G10">
        <f t="shared" si="2"/>
        <v>0.125055428619785</v>
      </c>
      <c r="H10">
        <f t="shared" si="3"/>
        <v>14.2120275036167</v>
      </c>
      <c r="I10">
        <f t="shared" si="4"/>
        <v>355.300687590418</v>
      </c>
      <c r="M10">
        <f t="shared" si="5"/>
        <v>-0.0694664623990267</v>
      </c>
      <c r="P10">
        <f t="shared" si="6"/>
        <v>0.000291208983214714</v>
      </c>
    </row>
    <row r="11" ht="17.25" spans="1:16">
      <c r="A11" s="12" t="s">
        <v>38</v>
      </c>
      <c r="B11">
        <v>10</v>
      </c>
      <c r="C11">
        <v>4678.82</v>
      </c>
      <c r="D11">
        <v>3</v>
      </c>
      <c r="E11">
        <f t="shared" si="0"/>
        <v>0.75</v>
      </c>
      <c r="F11">
        <f t="shared" si="1"/>
        <v>0.0341296928327645</v>
      </c>
      <c r="G11">
        <f t="shared" si="2"/>
        <v>0.395939747820936</v>
      </c>
      <c r="H11">
        <f t="shared" si="3"/>
        <v>43.00694406537</v>
      </c>
      <c r="I11">
        <f t="shared" si="4"/>
        <v>3225.52080490275</v>
      </c>
      <c r="J11" s="3" t="s">
        <v>32</v>
      </c>
      <c r="M11">
        <f t="shared" si="5"/>
        <v>-0.115276024437646</v>
      </c>
      <c r="P11">
        <f t="shared" si="6"/>
        <v>0.00116483593285886</v>
      </c>
    </row>
    <row r="12" ht="17.25" spans="1:16">
      <c r="A12" s="12" t="s">
        <v>40</v>
      </c>
      <c r="B12">
        <v>33</v>
      </c>
      <c r="C12">
        <v>111.15</v>
      </c>
      <c r="D12">
        <v>3</v>
      </c>
      <c r="E12">
        <f t="shared" si="0"/>
        <v>0.75</v>
      </c>
      <c r="F12">
        <f t="shared" si="1"/>
        <v>0.112627986348123</v>
      </c>
      <c r="G12">
        <f t="shared" si="2"/>
        <v>0.00940594059405941</v>
      </c>
      <c r="H12">
        <f t="shared" si="3"/>
        <v>12.2033926942182</v>
      </c>
      <c r="I12">
        <f t="shared" si="4"/>
        <v>915.254452066367</v>
      </c>
      <c r="M12">
        <f t="shared" si="5"/>
        <v>-0.245941797164401</v>
      </c>
      <c r="P12">
        <f t="shared" si="6"/>
        <v>0.012685063308833</v>
      </c>
    </row>
    <row r="13" ht="17.25" spans="1:16">
      <c r="A13" s="12" t="s">
        <v>44</v>
      </c>
      <c r="B13">
        <v>3</v>
      </c>
      <c r="C13">
        <v>596</v>
      </c>
      <c r="D13">
        <v>1</v>
      </c>
      <c r="E13">
        <f t="shared" si="0"/>
        <v>0.25</v>
      </c>
      <c r="F13">
        <f t="shared" si="1"/>
        <v>0.0102389078498294</v>
      </c>
      <c r="G13">
        <f t="shared" si="2"/>
        <v>0.0504358128120504</v>
      </c>
      <c r="H13">
        <f t="shared" si="3"/>
        <v>6.06747206618798</v>
      </c>
      <c r="I13">
        <f t="shared" si="4"/>
        <v>151.686801654699</v>
      </c>
      <c r="M13">
        <f t="shared" si="5"/>
        <v>-0.0469101739284876</v>
      </c>
      <c r="P13">
        <f t="shared" si="6"/>
        <v>0.000104835233957297</v>
      </c>
    </row>
    <row r="14" ht="17.25" spans="1:16">
      <c r="A14" s="12" t="s">
        <v>56</v>
      </c>
      <c r="B14">
        <v>1</v>
      </c>
      <c r="C14">
        <v>1.28</v>
      </c>
      <c r="D14">
        <v>1</v>
      </c>
      <c r="E14">
        <f t="shared" si="0"/>
        <v>0.25</v>
      </c>
      <c r="F14">
        <f t="shared" si="1"/>
        <v>0.00341296928327645</v>
      </c>
      <c r="G14">
        <f t="shared" si="2"/>
        <v>0.000108318524160108</v>
      </c>
      <c r="H14">
        <f t="shared" si="3"/>
        <v>0.352128780743656</v>
      </c>
      <c r="I14">
        <f t="shared" si="4"/>
        <v>8.8032195185914</v>
      </c>
      <c r="M14">
        <f t="shared" si="5"/>
        <v>-0.0193862546382835</v>
      </c>
      <c r="P14">
        <f t="shared" si="6"/>
        <v>1.16483593285886e-5</v>
      </c>
    </row>
    <row r="15" spans="13:16">
      <c r="M15" s="6">
        <v>1.44</v>
      </c>
      <c r="N15" s="6">
        <f>12/LN(293)</f>
        <v>2.11261185636339</v>
      </c>
      <c r="O15" s="6">
        <f>1.44/LN(13)</f>
        <v>0.561414593161843</v>
      </c>
      <c r="P15" s="6">
        <f>1-0.4094</f>
        <v>0.5906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workbookViewId="0">
      <selection activeCell="A2" sqref="A2:A20"/>
    </sheetView>
  </sheetViews>
  <sheetFormatPr defaultColWidth="8.89166666666667" defaultRowHeight="13.5"/>
  <cols>
    <col min="6" max="9" width="12.8916666666667"/>
    <col min="13" max="13" width="14.1083333333333"/>
    <col min="14" max="14" width="11.775"/>
    <col min="15" max="16" width="12.8916666666667"/>
  </cols>
  <sheetData>
    <row r="1" ht="17.25" spans="1:16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3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ht="17.25" spans="1:16">
      <c r="A2" s="12" t="s">
        <v>15</v>
      </c>
      <c r="B2">
        <v>2</v>
      </c>
      <c r="C2">
        <v>2.22</v>
      </c>
      <c r="D2">
        <v>2</v>
      </c>
      <c r="E2">
        <f t="shared" ref="E2:E20" si="0">D2/4</f>
        <v>0.5</v>
      </c>
      <c r="F2">
        <f t="shared" ref="F2:F20" si="1">B2/549</f>
        <v>0.00364298724954463</v>
      </c>
      <c r="G2">
        <f t="shared" ref="G2:G20" si="2">C2/36797</f>
        <v>6.03310052449928e-5</v>
      </c>
      <c r="H2">
        <f t="shared" ref="H2:H20" si="3">(F2+G2)*100</f>
        <v>0.370331825478962</v>
      </c>
      <c r="I2">
        <f t="shared" ref="I2:I20" si="4">H2*100*E2</f>
        <v>18.5165912739481</v>
      </c>
      <c r="K2">
        <v>36797</v>
      </c>
      <c r="L2">
        <v>549</v>
      </c>
      <c r="M2">
        <f>F2*LN(F2)</f>
        <v>-0.0204551958504539</v>
      </c>
      <c r="P2">
        <f>F2*F2</f>
        <v>1.32713561003447e-5</v>
      </c>
    </row>
    <row r="3" ht="17.25" spans="1:16">
      <c r="A3" s="12" t="s">
        <v>17</v>
      </c>
      <c r="B3">
        <v>2</v>
      </c>
      <c r="C3">
        <v>2.66</v>
      </c>
      <c r="D3">
        <v>1</v>
      </c>
      <c r="E3">
        <f t="shared" si="0"/>
        <v>0.25</v>
      </c>
      <c r="F3">
        <f t="shared" si="1"/>
        <v>0.00364298724954463</v>
      </c>
      <c r="G3">
        <f t="shared" si="2"/>
        <v>7.22885017800364e-5</v>
      </c>
      <c r="H3">
        <f t="shared" si="3"/>
        <v>0.371527575132466</v>
      </c>
      <c r="I3">
        <f t="shared" si="4"/>
        <v>9.28818937831166</v>
      </c>
      <c r="M3">
        <f t="shared" ref="M3:M20" si="5">F3*LN(F3)</f>
        <v>-0.0204551958504539</v>
      </c>
      <c r="P3">
        <f t="shared" ref="P3:P20" si="6">F3*F3</f>
        <v>1.32713561003447e-5</v>
      </c>
    </row>
    <row r="4" ht="17.25" spans="1:16">
      <c r="A4" s="12" t="s">
        <v>18</v>
      </c>
      <c r="B4">
        <v>2</v>
      </c>
      <c r="C4">
        <v>3.91</v>
      </c>
      <c r="D4">
        <v>1</v>
      </c>
      <c r="E4">
        <f t="shared" si="0"/>
        <v>0.25</v>
      </c>
      <c r="F4">
        <f t="shared" si="1"/>
        <v>0.00364298724954463</v>
      </c>
      <c r="G4">
        <f t="shared" si="2"/>
        <v>0.000106258662390956</v>
      </c>
      <c r="H4">
        <f t="shared" si="3"/>
        <v>0.374924591193558</v>
      </c>
      <c r="I4">
        <f t="shared" si="4"/>
        <v>9.37311477983896</v>
      </c>
      <c r="M4">
        <f t="shared" si="5"/>
        <v>-0.0204551958504539</v>
      </c>
      <c r="P4">
        <f t="shared" si="6"/>
        <v>1.32713561003447e-5</v>
      </c>
    </row>
    <row r="5" ht="17.25" spans="1:16">
      <c r="A5" s="12" t="s">
        <v>19</v>
      </c>
      <c r="B5">
        <v>6</v>
      </c>
      <c r="C5">
        <v>5.94</v>
      </c>
      <c r="D5">
        <v>3</v>
      </c>
      <c r="E5">
        <f t="shared" si="0"/>
        <v>0.75</v>
      </c>
      <c r="F5">
        <f t="shared" si="1"/>
        <v>0.0109289617486339</v>
      </c>
      <c r="G5">
        <f t="shared" si="2"/>
        <v>0.000161426203223089</v>
      </c>
      <c r="H5">
        <f t="shared" si="3"/>
        <v>1.1090387951857</v>
      </c>
      <c r="I5">
        <f t="shared" si="4"/>
        <v>83.1779096389273</v>
      </c>
      <c r="M5">
        <f t="shared" si="5"/>
        <v>-0.0493588958719287</v>
      </c>
      <c r="P5">
        <f t="shared" si="6"/>
        <v>0.000119442204903103</v>
      </c>
    </row>
    <row r="6" ht="17.25" spans="1:16">
      <c r="A6" s="12" t="s">
        <v>22</v>
      </c>
      <c r="B6">
        <v>34</v>
      </c>
      <c r="C6">
        <v>58.8</v>
      </c>
      <c r="D6">
        <v>2</v>
      </c>
      <c r="E6">
        <f t="shared" si="0"/>
        <v>0.5</v>
      </c>
      <c r="F6">
        <f t="shared" si="1"/>
        <v>0.0619307832422587</v>
      </c>
      <c r="G6">
        <f t="shared" si="2"/>
        <v>0.00159795635513765</v>
      </c>
      <c r="H6">
        <f t="shared" si="3"/>
        <v>6.35287395973963</v>
      </c>
      <c r="I6">
        <f t="shared" si="4"/>
        <v>317.643697986981</v>
      </c>
      <c r="M6">
        <f t="shared" si="5"/>
        <v>-0.172275207967895</v>
      </c>
      <c r="P6">
        <f t="shared" si="6"/>
        <v>0.00383542191299963</v>
      </c>
    </row>
    <row r="7" ht="17.25" spans="1:16">
      <c r="A7" s="12" t="s">
        <v>25</v>
      </c>
      <c r="B7">
        <v>1</v>
      </c>
      <c r="C7">
        <v>30.51</v>
      </c>
      <c r="D7">
        <v>1</v>
      </c>
      <c r="E7">
        <f t="shared" si="0"/>
        <v>0.25</v>
      </c>
      <c r="F7">
        <f t="shared" si="1"/>
        <v>0.00182149362477231</v>
      </c>
      <c r="G7">
        <f t="shared" si="2"/>
        <v>0.00082914368019132</v>
      </c>
      <c r="H7">
        <f t="shared" si="3"/>
        <v>0.265063730496363</v>
      </c>
      <c r="I7">
        <f t="shared" si="4"/>
        <v>6.62659326240908</v>
      </c>
      <c r="M7">
        <f t="shared" si="5"/>
        <v>-0.0114901610956458</v>
      </c>
      <c r="P7">
        <f t="shared" si="6"/>
        <v>3.31783902508618e-6</v>
      </c>
    </row>
    <row r="8" ht="17.25" spans="1:16">
      <c r="A8" s="12" t="s">
        <v>26</v>
      </c>
      <c r="B8">
        <v>8</v>
      </c>
      <c r="C8">
        <v>11.88</v>
      </c>
      <c r="D8">
        <v>2</v>
      </c>
      <c r="E8">
        <f t="shared" si="0"/>
        <v>0.5</v>
      </c>
      <c r="F8">
        <f t="shared" si="1"/>
        <v>0.0145719489981785</v>
      </c>
      <c r="G8">
        <f t="shared" si="2"/>
        <v>0.000322852406446178</v>
      </c>
      <c r="H8">
        <f t="shared" si="3"/>
        <v>1.48948014046247</v>
      </c>
      <c r="I8">
        <f t="shared" si="4"/>
        <v>74.4740070231234</v>
      </c>
      <c r="M8">
        <f t="shared" si="5"/>
        <v>-0.061619772675114</v>
      </c>
      <c r="P8">
        <f t="shared" si="6"/>
        <v>0.000212341697605516</v>
      </c>
    </row>
    <row r="9" ht="17.25" spans="1:16">
      <c r="A9" s="12" t="s">
        <v>27</v>
      </c>
      <c r="B9">
        <v>1</v>
      </c>
      <c r="C9">
        <v>102.6</v>
      </c>
      <c r="D9">
        <v>1</v>
      </c>
      <c r="E9">
        <f t="shared" si="0"/>
        <v>0.25</v>
      </c>
      <c r="F9">
        <f t="shared" si="1"/>
        <v>0.00182149362477231</v>
      </c>
      <c r="G9">
        <f t="shared" si="2"/>
        <v>0.00278827078294426</v>
      </c>
      <c r="H9">
        <f t="shared" si="3"/>
        <v>0.460976440771657</v>
      </c>
      <c r="I9">
        <f t="shared" si="4"/>
        <v>11.5244110192914</v>
      </c>
      <c r="M9">
        <f t="shared" si="5"/>
        <v>-0.0114901610956458</v>
      </c>
      <c r="P9">
        <f t="shared" si="6"/>
        <v>3.31783902508618e-6</v>
      </c>
    </row>
    <row r="10" ht="17.25" spans="1:16">
      <c r="A10" s="12" t="s">
        <v>30</v>
      </c>
      <c r="B10">
        <v>55</v>
      </c>
      <c r="C10">
        <v>116.85</v>
      </c>
      <c r="D10">
        <v>2</v>
      </c>
      <c r="E10">
        <f t="shared" si="0"/>
        <v>0.5</v>
      </c>
      <c r="F10">
        <f t="shared" si="1"/>
        <v>0.100182149362477</v>
      </c>
      <c r="G10">
        <f t="shared" si="2"/>
        <v>0.00317553061390874</v>
      </c>
      <c r="H10">
        <f t="shared" si="3"/>
        <v>10.3357679976386</v>
      </c>
      <c r="I10">
        <f t="shared" si="4"/>
        <v>516.78839988193</v>
      </c>
      <c r="M10">
        <f t="shared" si="5"/>
        <v>-0.230495608552347</v>
      </c>
      <c r="P10">
        <f t="shared" si="6"/>
        <v>0.0100364630508857</v>
      </c>
    </row>
    <row r="11" ht="17.25" spans="1:16">
      <c r="A11" s="12" t="s">
        <v>31</v>
      </c>
      <c r="B11" s="7">
        <v>150</v>
      </c>
      <c r="C11" s="7">
        <v>1588.98</v>
      </c>
      <c r="D11" s="7">
        <v>4</v>
      </c>
      <c r="E11" s="7">
        <f t="shared" si="0"/>
        <v>1</v>
      </c>
      <c r="F11" s="7">
        <f t="shared" si="1"/>
        <v>0.273224043715847</v>
      </c>
      <c r="G11" s="7">
        <f t="shared" si="2"/>
        <v>0.0431823246460309</v>
      </c>
      <c r="H11" s="7">
        <f t="shared" si="3"/>
        <v>31.6406368361878</v>
      </c>
      <c r="I11" s="7">
        <f t="shared" si="4"/>
        <v>3164.06368361878</v>
      </c>
      <c r="J11" s="3" t="s">
        <v>32</v>
      </c>
      <c r="K11" s="7"/>
      <c r="M11">
        <f t="shared" si="5"/>
        <v>-0.354498127708545</v>
      </c>
      <c r="P11">
        <f t="shared" si="6"/>
        <v>0.0746513780644391</v>
      </c>
    </row>
    <row r="12" ht="17.25" spans="1:16">
      <c r="A12" s="12" t="s">
        <v>33</v>
      </c>
      <c r="B12">
        <v>25</v>
      </c>
      <c r="C12">
        <v>1114.88</v>
      </c>
      <c r="D12">
        <v>2</v>
      </c>
      <c r="E12">
        <f t="shared" si="0"/>
        <v>0.5</v>
      </c>
      <c r="F12">
        <f t="shared" si="1"/>
        <v>0.0455373406193078</v>
      </c>
      <c r="G12">
        <f t="shared" si="2"/>
        <v>0.0302981221295214</v>
      </c>
      <c r="H12">
        <f t="shared" si="3"/>
        <v>7.58354627488293</v>
      </c>
      <c r="I12">
        <f t="shared" si="4"/>
        <v>379.177313744146</v>
      </c>
      <c r="M12">
        <f t="shared" si="5"/>
        <v>-0.140674982542866</v>
      </c>
      <c r="P12">
        <f t="shared" si="6"/>
        <v>0.00207364939067886</v>
      </c>
    </row>
    <row r="13" ht="17.25" spans="1:16">
      <c r="A13" s="12" t="s">
        <v>34</v>
      </c>
      <c r="B13">
        <v>5</v>
      </c>
      <c r="C13">
        <v>2.6</v>
      </c>
      <c r="D13">
        <v>1</v>
      </c>
      <c r="E13">
        <f t="shared" si="0"/>
        <v>0.25</v>
      </c>
      <c r="F13">
        <f t="shared" si="1"/>
        <v>0.00910746812386157</v>
      </c>
      <c r="G13">
        <f t="shared" si="2"/>
        <v>7.06579340707123e-5</v>
      </c>
      <c r="H13">
        <f t="shared" si="3"/>
        <v>0.917812605793228</v>
      </c>
      <c r="I13">
        <f t="shared" si="4"/>
        <v>22.9453151448307</v>
      </c>
      <c r="M13">
        <f t="shared" si="5"/>
        <v>-0.042792900993401</v>
      </c>
      <c r="P13">
        <f t="shared" si="6"/>
        <v>8.29459756271545e-5</v>
      </c>
    </row>
    <row r="14" ht="17.25" spans="1:16">
      <c r="A14" s="12" t="s">
        <v>35</v>
      </c>
      <c r="B14" s="7">
        <v>76</v>
      </c>
      <c r="C14" s="7">
        <v>2292</v>
      </c>
      <c r="D14" s="7">
        <v>3</v>
      </c>
      <c r="E14" s="7">
        <f t="shared" si="0"/>
        <v>0.75</v>
      </c>
      <c r="F14" s="7">
        <f t="shared" si="1"/>
        <v>0.138433515482696</v>
      </c>
      <c r="G14" s="7">
        <f t="shared" si="2"/>
        <v>0.0622876864961818</v>
      </c>
      <c r="H14" s="7">
        <f t="shared" si="3"/>
        <v>20.0721201978878</v>
      </c>
      <c r="I14" s="7">
        <f t="shared" si="4"/>
        <v>1505.40901484158</v>
      </c>
      <c r="J14" s="3" t="s">
        <v>32</v>
      </c>
      <c r="K14" s="7"/>
      <c r="M14">
        <f t="shared" si="5"/>
        <v>-0.273733602355124</v>
      </c>
      <c r="P14">
        <f t="shared" si="6"/>
        <v>0.0191638382088978</v>
      </c>
    </row>
    <row r="15" ht="17.25" spans="1:16">
      <c r="A15" s="12" t="s">
        <v>37</v>
      </c>
      <c r="B15">
        <v>12</v>
      </c>
      <c r="C15">
        <v>2301</v>
      </c>
      <c r="D15">
        <v>2</v>
      </c>
      <c r="E15">
        <f t="shared" si="0"/>
        <v>0.5</v>
      </c>
      <c r="F15">
        <f t="shared" si="1"/>
        <v>0.0218579234972678</v>
      </c>
      <c r="G15">
        <f t="shared" si="2"/>
        <v>0.0625322716525804</v>
      </c>
      <c r="H15">
        <f t="shared" si="3"/>
        <v>8.43901951498481</v>
      </c>
      <c r="I15">
        <f t="shared" si="4"/>
        <v>421.950975749241</v>
      </c>
      <c r="M15">
        <f t="shared" si="5"/>
        <v>-0.0835670336988313</v>
      </c>
      <c r="P15">
        <f t="shared" si="6"/>
        <v>0.00047776881961241</v>
      </c>
    </row>
    <row r="16" ht="17.25" spans="1:16">
      <c r="A16" s="12" t="s">
        <v>38</v>
      </c>
      <c r="B16" s="7">
        <v>33</v>
      </c>
      <c r="C16" s="7">
        <v>28942</v>
      </c>
      <c r="D16" s="7">
        <v>2</v>
      </c>
      <c r="E16" s="7">
        <f t="shared" si="0"/>
        <v>0.5</v>
      </c>
      <c r="F16" s="7">
        <f t="shared" si="1"/>
        <v>0.0601092896174863</v>
      </c>
      <c r="G16" s="7">
        <f t="shared" si="2"/>
        <v>0.786531510720983</v>
      </c>
      <c r="H16" s="7">
        <f t="shared" si="3"/>
        <v>84.6640800338469</v>
      </c>
      <c r="I16" s="7">
        <f t="shared" si="4"/>
        <v>4233.20400169234</v>
      </c>
      <c r="J16" s="3" t="s">
        <v>32</v>
      </c>
      <c r="M16">
        <f t="shared" si="5"/>
        <v>-0.169002730494391</v>
      </c>
      <c r="P16">
        <f t="shared" si="6"/>
        <v>0.00361312669831885</v>
      </c>
    </row>
    <row r="17" ht="17.25" spans="1:16">
      <c r="A17" s="12" t="s">
        <v>40</v>
      </c>
      <c r="B17" s="7">
        <v>111</v>
      </c>
      <c r="C17" s="7">
        <v>175.14</v>
      </c>
      <c r="D17" s="7">
        <v>4</v>
      </c>
      <c r="E17" s="7">
        <f t="shared" si="0"/>
        <v>1</v>
      </c>
      <c r="F17" s="7">
        <f t="shared" si="1"/>
        <v>0.202185792349727</v>
      </c>
      <c r="G17" s="7">
        <f t="shared" si="2"/>
        <v>0.00475962714351713</v>
      </c>
      <c r="H17" s="7">
        <f t="shared" si="3"/>
        <v>20.6945419493244</v>
      </c>
      <c r="I17" s="7">
        <f t="shared" si="4"/>
        <v>2069.45419493244</v>
      </c>
      <c r="J17" s="3" t="s">
        <v>32</v>
      </c>
      <c r="K17" s="7"/>
      <c r="M17">
        <f t="shared" si="5"/>
        <v>-0.323207786269379</v>
      </c>
      <c r="P17">
        <f t="shared" si="6"/>
        <v>0.0408790946280868</v>
      </c>
    </row>
    <row r="18" ht="17.25" spans="1:16">
      <c r="A18" s="12" t="s">
        <v>41</v>
      </c>
      <c r="B18">
        <v>1</v>
      </c>
      <c r="C18">
        <v>0.84</v>
      </c>
      <c r="D18">
        <v>1</v>
      </c>
      <c r="E18">
        <f t="shared" si="0"/>
        <v>0.25</v>
      </c>
      <c r="F18">
        <f t="shared" si="1"/>
        <v>0.00182149362477231</v>
      </c>
      <c r="G18">
        <f t="shared" si="2"/>
        <v>2.28279479305378e-5</v>
      </c>
      <c r="H18">
        <f t="shared" si="3"/>
        <v>0.184432157270285</v>
      </c>
      <c r="I18">
        <f t="shared" si="4"/>
        <v>4.61080393175713</v>
      </c>
      <c r="M18">
        <f t="shared" si="5"/>
        <v>-0.0114901610956458</v>
      </c>
      <c r="P18">
        <f t="shared" si="6"/>
        <v>3.31783902508618e-6</v>
      </c>
    </row>
    <row r="19" ht="17.25" spans="1:16">
      <c r="A19" s="12" t="s">
        <v>53</v>
      </c>
      <c r="B19">
        <v>12</v>
      </c>
      <c r="C19">
        <v>33.66</v>
      </c>
      <c r="D19">
        <v>2</v>
      </c>
      <c r="E19">
        <f t="shared" si="0"/>
        <v>0.5</v>
      </c>
      <c r="F19">
        <f t="shared" si="1"/>
        <v>0.0218579234972678</v>
      </c>
      <c r="G19">
        <f t="shared" si="2"/>
        <v>0.000914748484930837</v>
      </c>
      <c r="H19">
        <f t="shared" si="3"/>
        <v>2.27726719821986</v>
      </c>
      <c r="I19">
        <f t="shared" si="4"/>
        <v>113.863359910993</v>
      </c>
      <c r="M19">
        <f t="shared" si="5"/>
        <v>-0.0835670336988313</v>
      </c>
      <c r="P19">
        <f t="shared" si="6"/>
        <v>0.00047776881961241</v>
      </c>
    </row>
    <row r="20" ht="17.25" spans="1:16">
      <c r="A20" s="12" t="s">
        <v>57</v>
      </c>
      <c r="B20">
        <v>13</v>
      </c>
      <c r="C20">
        <v>10.84</v>
      </c>
      <c r="D20">
        <v>3</v>
      </c>
      <c r="E20">
        <f t="shared" si="0"/>
        <v>0.75</v>
      </c>
      <c r="F20">
        <f t="shared" si="1"/>
        <v>0.0236794171220401</v>
      </c>
      <c r="G20">
        <f t="shared" si="2"/>
        <v>0.000294589232817893</v>
      </c>
      <c r="H20">
        <f t="shared" si="3"/>
        <v>2.3974006354858</v>
      </c>
      <c r="I20">
        <f t="shared" si="4"/>
        <v>179.805047661435</v>
      </c>
      <c r="M20">
        <f t="shared" si="5"/>
        <v>-0.0886355885111547</v>
      </c>
      <c r="P20">
        <f t="shared" si="6"/>
        <v>0.000560714795239565</v>
      </c>
    </row>
    <row r="21" spans="13:16">
      <c r="M21" s="6">
        <v>2.169</v>
      </c>
      <c r="N21" s="6">
        <f>18/LN(549)</f>
        <v>2.85347480970709</v>
      </c>
      <c r="O21" s="6">
        <f>2.169/LN(19)</f>
        <v>0.736642876740491</v>
      </c>
      <c r="P21" s="6">
        <f>1-0.1562</f>
        <v>0.8438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workbookViewId="0">
      <selection activeCell="A2" sqref="A2:A20"/>
    </sheetView>
  </sheetViews>
  <sheetFormatPr defaultColWidth="8.89166666666667" defaultRowHeight="13.5"/>
  <cols>
    <col min="6" max="9" width="12.8916666666667"/>
    <col min="13" max="13" width="14.1083333333333"/>
    <col min="14" max="16" width="12.8916666666667"/>
  </cols>
  <sheetData>
    <row r="1" ht="17.25" spans="1:16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3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ht="17.25" spans="1:16">
      <c r="A2" s="12" t="s">
        <v>15</v>
      </c>
      <c r="B2">
        <v>27</v>
      </c>
      <c r="C2">
        <v>48.21</v>
      </c>
      <c r="D2">
        <v>2</v>
      </c>
      <c r="E2">
        <f t="shared" ref="E2:E20" si="0">D2/4</f>
        <v>0.5</v>
      </c>
      <c r="F2">
        <f t="shared" ref="F2:F20" si="1">B2/1315</f>
        <v>0.020532319391635</v>
      </c>
      <c r="G2">
        <f t="shared" ref="G2:G20" si="2">C2/20180</f>
        <v>0.00238899900891972</v>
      </c>
      <c r="H2">
        <f t="shared" ref="H2:H20" si="3">(F2+G2)*100</f>
        <v>2.29213184005547</v>
      </c>
      <c r="I2">
        <f t="shared" ref="I2:I20" si="4">H2*100*E2</f>
        <v>114.606592002774</v>
      </c>
      <c r="K2">
        <v>20180</v>
      </c>
      <c r="L2">
        <v>1315</v>
      </c>
      <c r="M2">
        <f>F2*LN(F2)</f>
        <v>-0.0797835643516376</v>
      </c>
      <c r="P2">
        <f>F2*F2</f>
        <v>0.00042157613960011</v>
      </c>
    </row>
    <row r="3" ht="17.25" spans="1:16">
      <c r="A3" s="12" t="s">
        <v>19</v>
      </c>
      <c r="B3">
        <v>2</v>
      </c>
      <c r="C3">
        <v>2.17</v>
      </c>
      <c r="D3">
        <v>1</v>
      </c>
      <c r="E3">
        <f t="shared" si="0"/>
        <v>0.25</v>
      </c>
      <c r="F3">
        <f t="shared" si="1"/>
        <v>0.00152091254752852</v>
      </c>
      <c r="G3">
        <f t="shared" si="2"/>
        <v>0.000107532210109019</v>
      </c>
      <c r="H3">
        <f t="shared" si="3"/>
        <v>0.162844475763754</v>
      </c>
      <c r="I3">
        <f t="shared" si="4"/>
        <v>4.07111189409384</v>
      </c>
      <c r="M3">
        <f t="shared" ref="M3:M20" si="5">F3*LN(F3)</f>
        <v>-0.00986835705559227</v>
      </c>
      <c r="P3">
        <f t="shared" ref="P3:P20" si="6">F3*F3</f>
        <v>2.31317497722968e-6</v>
      </c>
    </row>
    <row r="4" ht="17.25" spans="1:16">
      <c r="A4" s="12" t="s">
        <v>20</v>
      </c>
      <c r="B4">
        <v>7</v>
      </c>
      <c r="C4">
        <v>35.59</v>
      </c>
      <c r="D4">
        <v>1</v>
      </c>
      <c r="E4">
        <f t="shared" si="0"/>
        <v>0.25</v>
      </c>
      <c r="F4">
        <f t="shared" si="1"/>
        <v>0.00532319391634981</v>
      </c>
      <c r="G4">
        <f t="shared" si="2"/>
        <v>0.00176362735381566</v>
      </c>
      <c r="H4">
        <f t="shared" si="3"/>
        <v>0.708682127016547</v>
      </c>
      <c r="I4">
        <f t="shared" si="4"/>
        <v>17.7170531754137</v>
      </c>
      <c r="M4">
        <f t="shared" si="5"/>
        <v>-0.0278705494820501</v>
      </c>
      <c r="P4">
        <f t="shared" si="6"/>
        <v>2.83363934710636e-5</v>
      </c>
    </row>
    <row r="5" ht="17.25" spans="1:16">
      <c r="A5" s="12" t="s">
        <v>22</v>
      </c>
      <c r="B5">
        <v>19</v>
      </c>
      <c r="C5">
        <v>79.16</v>
      </c>
      <c r="D5">
        <v>1</v>
      </c>
      <c r="E5">
        <f t="shared" si="0"/>
        <v>0.25</v>
      </c>
      <c r="F5">
        <f t="shared" si="1"/>
        <v>0.0144486692015209</v>
      </c>
      <c r="G5">
        <f t="shared" si="2"/>
        <v>0.00392269573835481</v>
      </c>
      <c r="H5">
        <f t="shared" si="3"/>
        <v>1.83713649398757</v>
      </c>
      <c r="I5">
        <f t="shared" si="4"/>
        <v>45.9284123496893</v>
      </c>
      <c r="M5">
        <f t="shared" si="5"/>
        <v>-0.0612212215539643</v>
      </c>
      <c r="P5">
        <f t="shared" si="6"/>
        <v>0.000208764041694979</v>
      </c>
    </row>
    <row r="6" ht="17.25" spans="1:16">
      <c r="A6" s="12" t="s">
        <v>26</v>
      </c>
      <c r="B6">
        <v>15</v>
      </c>
      <c r="C6">
        <v>26.62</v>
      </c>
      <c r="D6">
        <v>1</v>
      </c>
      <c r="E6">
        <f t="shared" si="0"/>
        <v>0.25</v>
      </c>
      <c r="F6">
        <f t="shared" si="1"/>
        <v>0.0114068441064639</v>
      </c>
      <c r="G6">
        <f t="shared" si="2"/>
        <v>0.0013191278493558</v>
      </c>
      <c r="H6">
        <f t="shared" si="3"/>
        <v>1.27259719558197</v>
      </c>
      <c r="I6">
        <f t="shared" si="4"/>
        <v>31.8149298895492</v>
      </c>
      <c r="M6">
        <f t="shared" si="5"/>
        <v>-0.0510289932719733</v>
      </c>
      <c r="P6">
        <f t="shared" si="6"/>
        <v>0.00013011609246917</v>
      </c>
    </row>
    <row r="7" ht="17.25" spans="1:16">
      <c r="A7" s="12" t="s">
        <v>27</v>
      </c>
      <c r="B7">
        <v>91</v>
      </c>
      <c r="C7">
        <v>765.55</v>
      </c>
      <c r="D7">
        <v>1</v>
      </c>
      <c r="E7">
        <f t="shared" si="0"/>
        <v>0.25</v>
      </c>
      <c r="F7">
        <f t="shared" si="1"/>
        <v>0.0692015209125475</v>
      </c>
      <c r="G7">
        <f t="shared" si="2"/>
        <v>0.0379360753221011</v>
      </c>
      <c r="H7">
        <f t="shared" si="3"/>
        <v>10.7137596234649</v>
      </c>
      <c r="I7">
        <f t="shared" si="4"/>
        <v>267.843990586622</v>
      </c>
      <c r="M7">
        <f t="shared" si="5"/>
        <v>-0.184818746666651</v>
      </c>
      <c r="P7">
        <f t="shared" si="6"/>
        <v>0.00478885049660975</v>
      </c>
    </row>
    <row r="8" ht="17.25" spans="1:16">
      <c r="A8" s="12" t="s">
        <v>30</v>
      </c>
      <c r="B8">
        <v>1</v>
      </c>
      <c r="C8">
        <v>4.29</v>
      </c>
      <c r="D8">
        <v>1</v>
      </c>
      <c r="E8">
        <f t="shared" si="0"/>
        <v>0.25</v>
      </c>
      <c r="F8">
        <f t="shared" si="1"/>
        <v>0.000760456273764259</v>
      </c>
      <c r="G8">
        <f t="shared" si="2"/>
        <v>0.000212586719524281</v>
      </c>
      <c r="H8">
        <f t="shared" si="3"/>
        <v>0.097304299328854</v>
      </c>
      <c r="I8">
        <f t="shared" si="4"/>
        <v>2.43260748322135</v>
      </c>
      <c r="M8">
        <f t="shared" si="5"/>
        <v>-0.00546128664989495</v>
      </c>
      <c r="P8">
        <f t="shared" si="6"/>
        <v>5.78293744307421e-7</v>
      </c>
    </row>
    <row r="9" s="7" customFormat="1" ht="17.25" spans="1:16">
      <c r="A9" s="12" t="s">
        <v>31</v>
      </c>
      <c r="B9" s="7">
        <v>210</v>
      </c>
      <c r="C9" s="7">
        <v>354</v>
      </c>
      <c r="D9" s="7">
        <v>4</v>
      </c>
      <c r="E9" s="7">
        <f t="shared" si="0"/>
        <v>1</v>
      </c>
      <c r="F9" s="7">
        <f t="shared" si="1"/>
        <v>0.159695817490494</v>
      </c>
      <c r="G9" s="7">
        <f t="shared" si="2"/>
        <v>0.0175421209117939</v>
      </c>
      <c r="H9" s="7">
        <f t="shared" si="3"/>
        <v>17.7237938402288</v>
      </c>
      <c r="I9" s="7">
        <f t="shared" si="4"/>
        <v>1772.37938402288</v>
      </c>
      <c r="J9" s="3" t="s">
        <v>32</v>
      </c>
      <c r="M9">
        <f t="shared" si="5"/>
        <v>-0.292959488150436</v>
      </c>
      <c r="P9">
        <f t="shared" si="6"/>
        <v>0.0255027541239573</v>
      </c>
    </row>
    <row r="10" s="7" customFormat="1" ht="17.25" spans="1:16">
      <c r="A10" s="12" t="s">
        <v>33</v>
      </c>
      <c r="B10" s="7">
        <v>26</v>
      </c>
      <c r="C10" s="7">
        <v>3458</v>
      </c>
      <c r="D10" s="7">
        <v>3</v>
      </c>
      <c r="E10" s="7">
        <f t="shared" si="0"/>
        <v>0.75</v>
      </c>
      <c r="F10" s="7">
        <f t="shared" si="1"/>
        <v>0.0197718631178707</v>
      </c>
      <c r="G10" s="7">
        <f t="shared" si="2"/>
        <v>0.171357779980178</v>
      </c>
      <c r="H10" s="7">
        <f t="shared" si="3"/>
        <v>19.1129643098049</v>
      </c>
      <c r="I10" s="7">
        <f t="shared" si="4"/>
        <v>1433.47232323537</v>
      </c>
      <c r="J10" s="3" t="s">
        <v>32</v>
      </c>
      <c r="M10">
        <f t="shared" si="5"/>
        <v>-0.0775748141226996</v>
      </c>
      <c r="P10">
        <f t="shared" si="6"/>
        <v>0.000390926571151816</v>
      </c>
    </row>
    <row r="11" ht="17.25" spans="1:16">
      <c r="A11" s="12" t="s">
        <v>34</v>
      </c>
      <c r="B11">
        <v>2</v>
      </c>
      <c r="C11">
        <v>0.66</v>
      </c>
      <c r="D11">
        <v>1</v>
      </c>
      <c r="E11">
        <f t="shared" si="0"/>
        <v>0.25</v>
      </c>
      <c r="F11">
        <f t="shared" si="1"/>
        <v>0.00152091254752852</v>
      </c>
      <c r="G11">
        <f t="shared" si="2"/>
        <v>3.27056491575818e-5</v>
      </c>
      <c r="H11">
        <f t="shared" si="3"/>
        <v>0.15536181966861</v>
      </c>
      <c r="I11">
        <f t="shared" si="4"/>
        <v>3.88404549171525</v>
      </c>
      <c r="M11">
        <f t="shared" si="5"/>
        <v>-0.00986835705559227</v>
      </c>
      <c r="P11">
        <f t="shared" si="6"/>
        <v>2.31317497722968e-6</v>
      </c>
    </row>
    <row r="12" ht="17.25" spans="1:16">
      <c r="A12" s="12" t="s">
        <v>35</v>
      </c>
      <c r="B12">
        <v>29</v>
      </c>
      <c r="C12">
        <v>1406.18</v>
      </c>
      <c r="D12">
        <v>3</v>
      </c>
      <c r="E12">
        <f t="shared" si="0"/>
        <v>0.75</v>
      </c>
      <c r="F12">
        <f t="shared" si="1"/>
        <v>0.0220532319391635</v>
      </c>
      <c r="G12">
        <f t="shared" si="2"/>
        <v>0.0696818632309217</v>
      </c>
      <c r="H12">
        <f t="shared" si="3"/>
        <v>9.17350951700852</v>
      </c>
      <c r="I12">
        <f t="shared" si="4"/>
        <v>688.013213775639</v>
      </c>
      <c r="M12">
        <f t="shared" si="5"/>
        <v>-0.0841175569004839</v>
      </c>
      <c r="P12">
        <f t="shared" si="6"/>
        <v>0.000486345038962541</v>
      </c>
    </row>
    <row r="13" s="7" customFormat="1" ht="17.25" spans="1:16">
      <c r="A13" s="12" t="s">
        <v>37</v>
      </c>
      <c r="B13" s="7">
        <v>28</v>
      </c>
      <c r="C13" s="7">
        <v>2547</v>
      </c>
      <c r="D13" s="7">
        <v>3</v>
      </c>
      <c r="E13" s="7">
        <f t="shared" si="0"/>
        <v>0.75</v>
      </c>
      <c r="F13" s="7">
        <f t="shared" si="1"/>
        <v>0.0212927756653992</v>
      </c>
      <c r="G13" s="7">
        <f t="shared" si="2"/>
        <v>0.126214073339941</v>
      </c>
      <c r="H13" s="7">
        <f t="shared" si="3"/>
        <v>14.750684900534</v>
      </c>
      <c r="I13" s="7">
        <f t="shared" si="4"/>
        <v>1106.30136754005</v>
      </c>
      <c r="J13" s="3" t="s">
        <v>32</v>
      </c>
      <c r="M13">
        <f t="shared" si="5"/>
        <v>-0.0819641430906665</v>
      </c>
      <c r="P13">
        <f t="shared" si="6"/>
        <v>0.000453382295537018</v>
      </c>
    </row>
    <row r="14" s="7" customFormat="1" ht="17.25" spans="1:16">
      <c r="A14" s="12" t="s">
        <v>38</v>
      </c>
      <c r="B14" s="7">
        <v>7</v>
      </c>
      <c r="C14" s="7">
        <v>9935</v>
      </c>
      <c r="D14" s="7">
        <v>3</v>
      </c>
      <c r="E14" s="7">
        <f t="shared" si="0"/>
        <v>0.75</v>
      </c>
      <c r="F14" s="7">
        <f t="shared" si="1"/>
        <v>0.00532319391634981</v>
      </c>
      <c r="G14" s="7">
        <f t="shared" si="2"/>
        <v>0.492319127849356</v>
      </c>
      <c r="H14" s="7">
        <f t="shared" si="3"/>
        <v>49.7642321765706</v>
      </c>
      <c r="I14" s="7">
        <f t="shared" si="4"/>
        <v>3732.31741324279</v>
      </c>
      <c r="J14" s="3" t="s">
        <v>32</v>
      </c>
      <c r="M14">
        <f t="shared" si="5"/>
        <v>-0.0278705494820501</v>
      </c>
      <c r="P14">
        <f t="shared" si="6"/>
        <v>2.83363934710636e-5</v>
      </c>
    </row>
    <row r="15" s="7" customFormat="1" ht="17.25" spans="1:16">
      <c r="A15" s="12" t="s">
        <v>40</v>
      </c>
      <c r="B15" s="7">
        <v>774</v>
      </c>
      <c r="C15" s="7">
        <v>1297</v>
      </c>
      <c r="D15" s="7">
        <v>2</v>
      </c>
      <c r="E15" s="7">
        <f t="shared" si="0"/>
        <v>0.5</v>
      </c>
      <c r="F15" s="7">
        <f t="shared" si="1"/>
        <v>0.588593155893536</v>
      </c>
      <c r="G15" s="7">
        <f t="shared" si="2"/>
        <v>0.0642715559960357</v>
      </c>
      <c r="H15" s="7">
        <f t="shared" si="3"/>
        <v>65.2864711889572</v>
      </c>
      <c r="I15" s="7">
        <f t="shared" si="4"/>
        <v>3264.32355944786</v>
      </c>
      <c r="J15" s="3" t="s">
        <v>32</v>
      </c>
      <c r="M15">
        <f t="shared" si="5"/>
        <v>-0.311966186289836</v>
      </c>
      <c r="P15">
        <f t="shared" si="6"/>
        <v>0.346441903164713</v>
      </c>
    </row>
    <row r="16" ht="13" customHeight="1" spans="1:16">
      <c r="A16" s="12" t="s">
        <v>41</v>
      </c>
      <c r="B16">
        <v>1</v>
      </c>
      <c r="C16">
        <v>0.33</v>
      </c>
      <c r="D16">
        <v>1</v>
      </c>
      <c r="E16">
        <f t="shared" si="0"/>
        <v>0.25</v>
      </c>
      <c r="F16">
        <f t="shared" si="1"/>
        <v>0.000760456273764259</v>
      </c>
      <c r="G16">
        <f t="shared" si="2"/>
        <v>1.63528245787909e-5</v>
      </c>
      <c r="H16">
        <f t="shared" si="3"/>
        <v>0.0776809098343049</v>
      </c>
      <c r="I16">
        <f t="shared" si="4"/>
        <v>1.94202274585762</v>
      </c>
      <c r="J16" s="3"/>
      <c r="M16">
        <f t="shared" si="5"/>
        <v>-0.00546128664989495</v>
      </c>
      <c r="P16">
        <f t="shared" si="6"/>
        <v>5.78293744307421e-7</v>
      </c>
    </row>
    <row r="17" ht="17.25" spans="1:16">
      <c r="A17" s="12" t="s">
        <v>45</v>
      </c>
      <c r="B17">
        <v>2</v>
      </c>
      <c r="C17">
        <v>0.5</v>
      </c>
      <c r="D17">
        <v>1</v>
      </c>
      <c r="E17">
        <f t="shared" si="0"/>
        <v>0.25</v>
      </c>
      <c r="F17">
        <f t="shared" si="1"/>
        <v>0.00152091254752852</v>
      </c>
      <c r="G17">
        <f t="shared" si="2"/>
        <v>2.47770069375619e-5</v>
      </c>
      <c r="H17">
        <f t="shared" si="3"/>
        <v>0.154568955446608</v>
      </c>
      <c r="I17">
        <f t="shared" si="4"/>
        <v>3.8642238861652</v>
      </c>
      <c r="M17">
        <f t="shared" si="5"/>
        <v>-0.00986835705559227</v>
      </c>
      <c r="P17">
        <f t="shared" si="6"/>
        <v>2.31317497722968e-6</v>
      </c>
    </row>
    <row r="18" ht="17.25" spans="1:16">
      <c r="A18" s="12" t="s">
        <v>53</v>
      </c>
      <c r="B18">
        <v>18</v>
      </c>
      <c r="C18">
        <v>139</v>
      </c>
      <c r="D18">
        <v>1</v>
      </c>
      <c r="E18">
        <f t="shared" si="0"/>
        <v>0.25</v>
      </c>
      <c r="F18">
        <f t="shared" si="1"/>
        <v>0.0136882129277567</v>
      </c>
      <c r="G18">
        <f t="shared" si="2"/>
        <v>0.00688800792864222</v>
      </c>
      <c r="H18">
        <f t="shared" si="3"/>
        <v>2.05762208563989</v>
      </c>
      <c r="I18">
        <f t="shared" si="4"/>
        <v>51.4405521409972</v>
      </c>
      <c r="M18">
        <f t="shared" si="5"/>
        <v>-0.0587391356356522</v>
      </c>
      <c r="P18">
        <f t="shared" si="6"/>
        <v>0.000187367173155604</v>
      </c>
    </row>
    <row r="19" ht="17.25" spans="1:16">
      <c r="A19" s="12" t="s">
        <v>56</v>
      </c>
      <c r="B19">
        <v>35</v>
      </c>
      <c r="C19">
        <v>37.7</v>
      </c>
      <c r="D19">
        <v>2</v>
      </c>
      <c r="E19">
        <f t="shared" si="0"/>
        <v>0.5</v>
      </c>
      <c r="F19">
        <f t="shared" si="1"/>
        <v>0.026615969581749</v>
      </c>
      <c r="G19">
        <f t="shared" si="2"/>
        <v>0.00186818632309217</v>
      </c>
      <c r="H19">
        <f t="shared" si="3"/>
        <v>2.84841559048412</v>
      </c>
      <c r="I19">
        <f t="shared" si="4"/>
        <v>142.420779524206</v>
      </c>
      <c r="M19">
        <f t="shared" si="5"/>
        <v>-0.0965159968891907</v>
      </c>
      <c r="P19">
        <f t="shared" si="6"/>
        <v>0.000708409836776591</v>
      </c>
    </row>
    <row r="20" ht="17.25" spans="1:16">
      <c r="A20" s="12" t="s">
        <v>57</v>
      </c>
      <c r="B20">
        <v>21</v>
      </c>
      <c r="C20">
        <v>43.98</v>
      </c>
      <c r="D20">
        <v>2</v>
      </c>
      <c r="E20">
        <f t="shared" si="0"/>
        <v>0.5</v>
      </c>
      <c r="F20">
        <f t="shared" si="1"/>
        <v>0.0159695817490494</v>
      </c>
      <c r="G20">
        <f t="shared" si="2"/>
        <v>0.00217938553022795</v>
      </c>
      <c r="H20">
        <f t="shared" si="3"/>
        <v>1.81489672792774</v>
      </c>
      <c r="I20">
        <f t="shared" si="4"/>
        <v>90.7448363963869</v>
      </c>
      <c r="M20">
        <f t="shared" si="5"/>
        <v>-0.0660672696917546</v>
      </c>
      <c r="P20">
        <f t="shared" si="6"/>
        <v>0.000255027541239573</v>
      </c>
    </row>
    <row r="21" spans="13:16">
      <c r="M21" s="6">
        <v>1.543</v>
      </c>
      <c r="N21">
        <f>18/LN(1315)</f>
        <v>2.50640806924499</v>
      </c>
      <c r="O21">
        <f>1.543/LN(19)</f>
        <v>0.524038708534153</v>
      </c>
      <c r="P21">
        <f>1-0.38</f>
        <v>0.62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workbookViewId="0">
      <selection activeCell="A2" sqref="A2:A23"/>
    </sheetView>
  </sheetViews>
  <sheetFormatPr defaultColWidth="8.89166666666667" defaultRowHeight="13.5"/>
  <cols>
    <col min="6" max="9" width="12.8916666666667"/>
    <col min="13" max="13" width="14.1083333333333"/>
    <col min="14" max="16" width="12.8916666666667"/>
  </cols>
  <sheetData>
    <row r="1" ht="17.25" spans="1:16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3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</row>
    <row r="2" ht="14.25" spans="1:16">
      <c r="A2" s="11" t="s">
        <v>15</v>
      </c>
      <c r="B2">
        <v>5</v>
      </c>
      <c r="C2">
        <v>6.7</v>
      </c>
      <c r="D2">
        <v>2</v>
      </c>
      <c r="E2">
        <f t="shared" ref="E2:E23" si="0">D2/4</f>
        <v>0.5</v>
      </c>
      <c r="F2">
        <f t="shared" ref="F2:F23" si="1">B2/491</f>
        <v>0.010183299389002</v>
      </c>
      <c r="G2">
        <f t="shared" ref="G2:G23" si="2">C2/51724</f>
        <v>0.000129533678756477</v>
      </c>
      <c r="H2">
        <f t="shared" ref="H2:H23" si="3">(F2+G2)*100</f>
        <v>1.03128330677585</v>
      </c>
      <c r="I2">
        <f t="shared" ref="I2:I23" si="4">H2*100*E2</f>
        <v>51.5641653387926</v>
      </c>
      <c r="K2">
        <v>51724</v>
      </c>
      <c r="L2">
        <v>491</v>
      </c>
      <c r="M2">
        <f>F2*LN(F2)</f>
        <v>-0.0467108575902283</v>
      </c>
      <c r="P2">
        <f>F2*F2</f>
        <v>0.000103699586446049</v>
      </c>
    </row>
    <row r="3" ht="14.25" spans="1:16">
      <c r="A3" s="11" t="s">
        <v>17</v>
      </c>
      <c r="B3">
        <v>1</v>
      </c>
      <c r="C3">
        <v>0.52</v>
      </c>
      <c r="D3">
        <v>1</v>
      </c>
      <c r="E3">
        <f t="shared" si="0"/>
        <v>0.25</v>
      </c>
      <c r="F3">
        <f t="shared" si="1"/>
        <v>0.00203665987780041</v>
      </c>
      <c r="G3">
        <f t="shared" si="2"/>
        <v>1.00533601422937e-5</v>
      </c>
      <c r="H3">
        <f t="shared" si="3"/>
        <v>0.20467132379427</v>
      </c>
      <c r="I3">
        <f t="shared" si="4"/>
        <v>5.11678309485675</v>
      </c>
      <c r="M3">
        <f t="shared" ref="M3:M23" si="5">F3*LN(F3)</f>
        <v>-0.012620049140111</v>
      </c>
      <c r="P3">
        <f t="shared" ref="P3:P23" si="6">F3*F3</f>
        <v>4.14798345784197e-6</v>
      </c>
    </row>
    <row r="4" ht="14.25" spans="1:16">
      <c r="A4" s="11" t="s">
        <v>19</v>
      </c>
      <c r="B4">
        <v>2</v>
      </c>
      <c r="C4">
        <v>2.6</v>
      </c>
      <c r="D4">
        <v>1</v>
      </c>
      <c r="E4">
        <f t="shared" si="0"/>
        <v>0.25</v>
      </c>
      <c r="F4">
        <f t="shared" si="1"/>
        <v>0.00407331975560081</v>
      </c>
      <c r="G4">
        <f t="shared" si="2"/>
        <v>5.02668007114686e-5</v>
      </c>
      <c r="H4">
        <f t="shared" si="3"/>
        <v>0.412358655631228</v>
      </c>
      <c r="I4">
        <f t="shared" si="4"/>
        <v>10.3089663907807</v>
      </c>
      <c r="M4">
        <f t="shared" si="5"/>
        <v>-0.0224166881761083</v>
      </c>
      <c r="P4">
        <f t="shared" si="6"/>
        <v>1.65919338313679e-5</v>
      </c>
    </row>
    <row r="5" ht="14.25" spans="1:16">
      <c r="A5" s="11" t="s">
        <v>20</v>
      </c>
      <c r="B5">
        <v>9</v>
      </c>
      <c r="C5">
        <v>27.6</v>
      </c>
      <c r="D5">
        <v>1</v>
      </c>
      <c r="E5">
        <f t="shared" si="0"/>
        <v>0.25</v>
      </c>
      <c r="F5">
        <f t="shared" si="1"/>
        <v>0.0183299389002037</v>
      </c>
      <c r="G5">
        <f t="shared" si="2"/>
        <v>0.000533601422937128</v>
      </c>
      <c r="H5">
        <f t="shared" si="3"/>
        <v>1.88635403231408</v>
      </c>
      <c r="I5">
        <f t="shared" si="4"/>
        <v>47.158850807852</v>
      </c>
      <c r="M5">
        <f t="shared" si="5"/>
        <v>-0.0733054500084006</v>
      </c>
      <c r="P5">
        <f t="shared" si="6"/>
        <v>0.0003359866600852</v>
      </c>
    </row>
    <row r="6" ht="14.25" spans="1:16">
      <c r="A6" s="11" t="s">
        <v>21</v>
      </c>
      <c r="B6">
        <v>2</v>
      </c>
      <c r="C6">
        <v>10961</v>
      </c>
      <c r="D6">
        <v>1</v>
      </c>
      <c r="E6">
        <f t="shared" si="0"/>
        <v>0.25</v>
      </c>
      <c r="F6">
        <f t="shared" si="1"/>
        <v>0.00407331975560081</v>
      </c>
      <c r="G6">
        <f t="shared" si="2"/>
        <v>0.211913231768618</v>
      </c>
      <c r="H6">
        <f t="shared" si="3"/>
        <v>21.5986551524219</v>
      </c>
      <c r="I6">
        <f t="shared" si="4"/>
        <v>539.966378810547</v>
      </c>
      <c r="M6">
        <f t="shared" si="5"/>
        <v>-0.0224166881761083</v>
      </c>
      <c r="P6">
        <f t="shared" si="6"/>
        <v>1.65919338313679e-5</v>
      </c>
    </row>
    <row r="7" ht="14.25" spans="1:16">
      <c r="A7" s="11" t="s">
        <v>22</v>
      </c>
      <c r="B7">
        <v>6</v>
      </c>
      <c r="C7">
        <v>2.56</v>
      </c>
      <c r="D7">
        <v>3</v>
      </c>
      <c r="E7">
        <f t="shared" si="0"/>
        <v>0.75</v>
      </c>
      <c r="F7">
        <f t="shared" si="1"/>
        <v>0.0122199592668024</v>
      </c>
      <c r="G7">
        <f t="shared" si="2"/>
        <v>4.94934653159075e-5</v>
      </c>
      <c r="H7">
        <f t="shared" si="3"/>
        <v>1.22694527321184</v>
      </c>
      <c r="I7">
        <f t="shared" si="4"/>
        <v>92.0208954908876</v>
      </c>
      <c r="M7">
        <f t="shared" si="5"/>
        <v>-0.0538250671107918</v>
      </c>
      <c r="P7">
        <f t="shared" si="6"/>
        <v>0.000149327404482311</v>
      </c>
    </row>
    <row r="8" ht="14.25" spans="1:16">
      <c r="A8" s="11" t="s">
        <v>23</v>
      </c>
      <c r="B8">
        <v>2</v>
      </c>
      <c r="C8">
        <v>42.84</v>
      </c>
      <c r="D8">
        <v>2</v>
      </c>
      <c r="E8">
        <f t="shared" si="0"/>
        <v>0.5</v>
      </c>
      <c r="F8">
        <f t="shared" si="1"/>
        <v>0.00407331975560081</v>
      </c>
      <c r="G8">
        <f t="shared" si="2"/>
        <v>0.00082824220864589</v>
      </c>
      <c r="H8">
        <f t="shared" si="3"/>
        <v>0.49015619642467</v>
      </c>
      <c r="I8">
        <f t="shared" si="4"/>
        <v>24.5078098212335</v>
      </c>
      <c r="M8">
        <f t="shared" si="5"/>
        <v>-0.0224166881761083</v>
      </c>
      <c r="P8">
        <f t="shared" si="6"/>
        <v>1.65919338313679e-5</v>
      </c>
    </row>
    <row r="9" ht="14.25" spans="1:16">
      <c r="A9" s="11" t="s">
        <v>26</v>
      </c>
      <c r="B9">
        <v>1</v>
      </c>
      <c r="C9">
        <v>1.89</v>
      </c>
      <c r="D9">
        <v>1</v>
      </c>
      <c r="E9">
        <f t="shared" si="0"/>
        <v>0.25</v>
      </c>
      <c r="F9">
        <f t="shared" si="1"/>
        <v>0.00203665987780041</v>
      </c>
      <c r="G9">
        <f t="shared" si="2"/>
        <v>3.65400974402598e-5</v>
      </c>
      <c r="H9">
        <f t="shared" si="3"/>
        <v>0.207319997524067</v>
      </c>
      <c r="I9">
        <f t="shared" si="4"/>
        <v>5.18299993810167</v>
      </c>
      <c r="M9">
        <f t="shared" si="5"/>
        <v>-0.012620049140111</v>
      </c>
      <c r="P9">
        <f t="shared" si="6"/>
        <v>4.14798345784197e-6</v>
      </c>
    </row>
    <row r="10" ht="14.25" spans="1:16">
      <c r="A10" s="11" t="s">
        <v>27</v>
      </c>
      <c r="B10">
        <v>4</v>
      </c>
      <c r="C10">
        <v>62.95</v>
      </c>
      <c r="D10">
        <v>4</v>
      </c>
      <c r="E10">
        <f t="shared" si="0"/>
        <v>1</v>
      </c>
      <c r="F10">
        <f t="shared" si="1"/>
        <v>0.00814663951120163</v>
      </c>
      <c r="G10">
        <f t="shared" si="2"/>
        <v>0.00121703657876421</v>
      </c>
      <c r="H10">
        <f t="shared" si="3"/>
        <v>0.936367608996584</v>
      </c>
      <c r="I10">
        <f t="shared" si="4"/>
        <v>93.6367608996584</v>
      </c>
      <c r="M10">
        <f t="shared" si="5"/>
        <v>-0.0391865561439888</v>
      </c>
      <c r="P10">
        <f t="shared" si="6"/>
        <v>6.63677353254715e-5</v>
      </c>
    </row>
    <row r="11" ht="14.25" spans="1:16">
      <c r="A11" s="11" t="s">
        <v>30</v>
      </c>
      <c r="B11">
        <v>4</v>
      </c>
      <c r="C11">
        <v>6.04</v>
      </c>
      <c r="D11">
        <v>2</v>
      </c>
      <c r="E11">
        <f t="shared" si="0"/>
        <v>0.5</v>
      </c>
      <c r="F11">
        <f t="shared" si="1"/>
        <v>0.00814663951120163</v>
      </c>
      <c r="G11">
        <f t="shared" si="2"/>
        <v>0.000116773644729719</v>
      </c>
      <c r="H11">
        <f t="shared" si="3"/>
        <v>0.826341315593135</v>
      </c>
      <c r="I11">
        <f t="shared" si="4"/>
        <v>41.3170657796567</v>
      </c>
      <c r="M11">
        <f t="shared" si="5"/>
        <v>-0.0391865561439888</v>
      </c>
      <c r="P11">
        <f t="shared" si="6"/>
        <v>6.63677353254715e-5</v>
      </c>
    </row>
    <row r="12" ht="17.25" spans="1:16">
      <c r="A12" s="11" t="s">
        <v>31</v>
      </c>
      <c r="B12">
        <v>282</v>
      </c>
      <c r="C12">
        <v>576</v>
      </c>
      <c r="D12">
        <v>4</v>
      </c>
      <c r="E12">
        <f t="shared" si="0"/>
        <v>1</v>
      </c>
      <c r="F12">
        <f t="shared" si="1"/>
        <v>0.574338085539715</v>
      </c>
      <c r="G12">
        <f t="shared" si="2"/>
        <v>0.0111360296960792</v>
      </c>
      <c r="H12">
        <f t="shared" si="3"/>
        <v>58.5474115235794</v>
      </c>
      <c r="I12">
        <f t="shared" si="4"/>
        <v>5854.74115235794</v>
      </c>
      <c r="J12" s="3" t="s">
        <v>32</v>
      </c>
      <c r="M12">
        <f t="shared" si="5"/>
        <v>-0.318491751595737</v>
      </c>
      <c r="P12">
        <f t="shared" si="6"/>
        <v>0.329864236501425</v>
      </c>
    </row>
    <row r="13" ht="17.25" spans="1:16">
      <c r="A13" s="11" t="s">
        <v>33</v>
      </c>
      <c r="B13">
        <v>61</v>
      </c>
      <c r="C13">
        <v>1728.71</v>
      </c>
      <c r="D13">
        <v>4</v>
      </c>
      <c r="E13">
        <f t="shared" si="0"/>
        <v>1</v>
      </c>
      <c r="F13">
        <f t="shared" si="1"/>
        <v>0.124236252545825</v>
      </c>
      <c r="G13">
        <f t="shared" si="2"/>
        <v>0.0334218157915088</v>
      </c>
      <c r="H13">
        <f t="shared" si="3"/>
        <v>15.7658068337334</v>
      </c>
      <c r="I13">
        <f t="shared" si="4"/>
        <v>1576.58068337334</v>
      </c>
      <c r="J13" s="3" t="s">
        <v>32</v>
      </c>
      <c r="M13">
        <f t="shared" si="5"/>
        <v>-0.259103433973307</v>
      </c>
      <c r="P13">
        <f t="shared" si="6"/>
        <v>0.01543464644663</v>
      </c>
    </row>
    <row r="14" ht="14.25" spans="1:16">
      <c r="A14" s="11" t="s">
        <v>34</v>
      </c>
      <c r="B14">
        <v>3</v>
      </c>
      <c r="C14">
        <v>0.95</v>
      </c>
      <c r="D14">
        <v>2</v>
      </c>
      <c r="E14">
        <f t="shared" si="0"/>
        <v>0.5</v>
      </c>
      <c r="F14">
        <f t="shared" si="1"/>
        <v>0.00610997963340122</v>
      </c>
      <c r="G14">
        <f t="shared" si="2"/>
        <v>1.83667156445751e-5</v>
      </c>
      <c r="H14">
        <f t="shared" si="3"/>
        <v>0.61283463490458</v>
      </c>
      <c r="I14">
        <f t="shared" si="4"/>
        <v>30.641731745229</v>
      </c>
      <c r="M14">
        <f t="shared" si="5"/>
        <v>-0.0311476487115667</v>
      </c>
      <c r="P14">
        <f t="shared" si="6"/>
        <v>3.73318511205777e-5</v>
      </c>
    </row>
    <row r="15" ht="17.25" spans="1:16">
      <c r="A15" s="11" t="s">
        <v>35</v>
      </c>
      <c r="B15">
        <v>40</v>
      </c>
      <c r="C15">
        <v>2448.17</v>
      </c>
      <c r="D15">
        <v>4</v>
      </c>
      <c r="E15">
        <f t="shared" si="0"/>
        <v>1</v>
      </c>
      <c r="F15">
        <f t="shared" si="1"/>
        <v>0.0814663951120163</v>
      </c>
      <c r="G15">
        <f t="shared" si="2"/>
        <v>0.0473314128837677</v>
      </c>
      <c r="H15">
        <f t="shared" si="3"/>
        <v>12.8797807995784</v>
      </c>
      <c r="I15">
        <f t="shared" si="4"/>
        <v>1287.97807995784</v>
      </c>
      <c r="J15" s="3" t="s">
        <v>32</v>
      </c>
      <c r="M15">
        <f t="shared" si="5"/>
        <v>-0.204282254474997</v>
      </c>
      <c r="P15">
        <f t="shared" si="6"/>
        <v>0.00663677353254715</v>
      </c>
    </row>
    <row r="16" ht="14.25" spans="1:16">
      <c r="A16" s="11" t="s">
        <v>37</v>
      </c>
      <c r="B16">
        <v>16</v>
      </c>
      <c r="C16">
        <v>4339</v>
      </c>
      <c r="D16">
        <v>3</v>
      </c>
      <c r="E16">
        <f t="shared" si="0"/>
        <v>0.75</v>
      </c>
      <c r="F16">
        <f t="shared" si="1"/>
        <v>0.0325865580448065</v>
      </c>
      <c r="G16">
        <f t="shared" si="2"/>
        <v>0.0838875570334854</v>
      </c>
      <c r="H16">
        <f t="shared" si="3"/>
        <v>11.6474115078292</v>
      </c>
      <c r="I16">
        <f t="shared" si="4"/>
        <v>873.55586308719</v>
      </c>
      <c r="M16">
        <f t="shared" si="5"/>
        <v>-0.111571662910134</v>
      </c>
      <c r="P16">
        <f t="shared" si="6"/>
        <v>0.00106188376520754</v>
      </c>
    </row>
    <row r="17" ht="17.25" spans="1:16">
      <c r="A17" s="11" t="s">
        <v>38</v>
      </c>
      <c r="B17">
        <v>29</v>
      </c>
      <c r="C17">
        <v>30212</v>
      </c>
      <c r="D17">
        <v>3</v>
      </c>
      <c r="E17">
        <f t="shared" si="0"/>
        <v>0.75</v>
      </c>
      <c r="F17">
        <f t="shared" si="1"/>
        <v>0.0590631364562118</v>
      </c>
      <c r="G17">
        <f t="shared" si="2"/>
        <v>0.584100224267265</v>
      </c>
      <c r="H17">
        <f t="shared" si="3"/>
        <v>64.3163360723477</v>
      </c>
      <c r="I17">
        <f t="shared" si="4"/>
        <v>4823.72520542607</v>
      </c>
      <c r="J17" s="3" t="s">
        <v>32</v>
      </c>
      <c r="M17">
        <f t="shared" si="5"/>
        <v>-0.167098371968296</v>
      </c>
      <c r="P17">
        <f t="shared" si="6"/>
        <v>0.0034884540880451</v>
      </c>
    </row>
    <row r="18" ht="14.25" spans="1:16">
      <c r="A18" s="11" t="s">
        <v>40</v>
      </c>
      <c r="B18">
        <v>15</v>
      </c>
      <c r="C18">
        <v>11.02</v>
      </c>
      <c r="D18">
        <v>4</v>
      </c>
      <c r="E18">
        <f t="shared" si="0"/>
        <v>1</v>
      </c>
      <c r="F18">
        <f t="shared" si="1"/>
        <v>0.0305498981670061</v>
      </c>
      <c r="G18">
        <f t="shared" si="2"/>
        <v>0.000213053901477071</v>
      </c>
      <c r="H18">
        <f t="shared" si="3"/>
        <v>3.07629520684832</v>
      </c>
      <c r="I18">
        <f t="shared" si="4"/>
        <v>307.629520684832</v>
      </c>
      <c r="M18">
        <f t="shared" si="5"/>
        <v>-0.106570079226853</v>
      </c>
      <c r="P18">
        <f t="shared" si="6"/>
        <v>0.000933296278014443</v>
      </c>
    </row>
    <row r="19" ht="14.25" spans="1:16">
      <c r="A19" s="11" t="s">
        <v>45</v>
      </c>
      <c r="B19">
        <v>2</v>
      </c>
      <c r="C19">
        <v>0.27</v>
      </c>
      <c r="D19">
        <v>1</v>
      </c>
      <c r="E19">
        <f t="shared" si="0"/>
        <v>0.25</v>
      </c>
      <c r="F19">
        <f t="shared" si="1"/>
        <v>0.00407331975560081</v>
      </c>
      <c r="G19">
        <f t="shared" si="2"/>
        <v>5.22001392003712e-6</v>
      </c>
      <c r="H19">
        <f t="shared" si="3"/>
        <v>0.407853976952085</v>
      </c>
      <c r="I19">
        <f t="shared" si="4"/>
        <v>10.1963494238021</v>
      </c>
      <c r="M19">
        <f t="shared" si="5"/>
        <v>-0.0224166881761083</v>
      </c>
      <c r="P19">
        <f t="shared" si="6"/>
        <v>1.65919338313679e-5</v>
      </c>
    </row>
    <row r="20" ht="14.25" spans="1:16">
      <c r="A20" s="11" t="s">
        <v>52</v>
      </c>
      <c r="B20">
        <v>1</v>
      </c>
      <c r="C20">
        <v>1285</v>
      </c>
      <c r="D20">
        <v>1</v>
      </c>
      <c r="E20">
        <f t="shared" si="0"/>
        <v>0.25</v>
      </c>
      <c r="F20">
        <f t="shared" si="1"/>
        <v>0.00203665987780041</v>
      </c>
      <c r="G20">
        <f t="shared" si="2"/>
        <v>0.0248433995823989</v>
      </c>
      <c r="H20">
        <f t="shared" si="3"/>
        <v>2.68800594601993</v>
      </c>
      <c r="I20">
        <f t="shared" si="4"/>
        <v>67.2001486504982</v>
      </c>
      <c r="M20">
        <f t="shared" si="5"/>
        <v>-0.012620049140111</v>
      </c>
      <c r="P20">
        <f t="shared" si="6"/>
        <v>4.14798345784197e-6</v>
      </c>
    </row>
    <row r="21" ht="14.25" spans="1:16">
      <c r="A21" s="11" t="s">
        <v>53</v>
      </c>
      <c r="B21">
        <v>3</v>
      </c>
      <c r="C21">
        <v>4.84</v>
      </c>
      <c r="D21">
        <v>2</v>
      </c>
      <c r="E21">
        <f t="shared" si="0"/>
        <v>0.5</v>
      </c>
      <c r="F21">
        <f t="shared" si="1"/>
        <v>0.00610997963340122</v>
      </c>
      <c r="G21">
        <f t="shared" si="2"/>
        <v>9.35735828628876e-5</v>
      </c>
      <c r="H21">
        <f t="shared" si="3"/>
        <v>0.620355321626411</v>
      </c>
      <c r="I21">
        <f t="shared" si="4"/>
        <v>31.0177660813205</v>
      </c>
      <c r="M21">
        <f t="shared" si="5"/>
        <v>-0.0311476487115667</v>
      </c>
      <c r="P21">
        <f t="shared" si="6"/>
        <v>3.73318511205777e-5</v>
      </c>
    </row>
    <row r="22" ht="14.25" spans="1:16">
      <c r="A22" s="11" t="s">
        <v>56</v>
      </c>
      <c r="B22">
        <v>2</v>
      </c>
      <c r="C22">
        <v>1.91</v>
      </c>
      <c r="D22">
        <v>2</v>
      </c>
      <c r="E22">
        <f t="shared" si="0"/>
        <v>0.5</v>
      </c>
      <c r="F22">
        <f t="shared" si="1"/>
        <v>0.00407331975560081</v>
      </c>
      <c r="G22">
        <f t="shared" si="2"/>
        <v>3.69267651380404e-5</v>
      </c>
      <c r="H22">
        <f t="shared" si="3"/>
        <v>0.411024652073885</v>
      </c>
      <c r="I22">
        <f t="shared" si="4"/>
        <v>20.5512326036943</v>
      </c>
      <c r="M22">
        <f t="shared" si="5"/>
        <v>-0.0224166881761083</v>
      </c>
      <c r="P22">
        <f t="shared" si="6"/>
        <v>1.65919338313679e-5</v>
      </c>
    </row>
    <row r="23" ht="14.25" spans="1:16">
      <c r="A23" s="11" t="s">
        <v>57</v>
      </c>
      <c r="B23">
        <v>1</v>
      </c>
      <c r="C23">
        <v>2.1</v>
      </c>
      <c r="D23">
        <v>1</v>
      </c>
      <c r="E23">
        <f t="shared" si="0"/>
        <v>0.25</v>
      </c>
      <c r="F23">
        <f t="shared" si="1"/>
        <v>0.00203665987780041</v>
      </c>
      <c r="G23">
        <f t="shared" si="2"/>
        <v>4.06001082669554e-5</v>
      </c>
      <c r="H23">
        <f t="shared" si="3"/>
        <v>0.207725998606736</v>
      </c>
      <c r="I23">
        <f t="shared" si="4"/>
        <v>5.19314996516841</v>
      </c>
      <c r="M23">
        <f t="shared" si="5"/>
        <v>-0.012620049140111</v>
      </c>
      <c r="P23">
        <f t="shared" si="6"/>
        <v>4.14798345784197e-6</v>
      </c>
    </row>
    <row r="24" spans="13:16">
      <c r="M24" s="6">
        <v>1.644</v>
      </c>
      <c r="N24" s="6">
        <f>21/LN(491)</f>
        <v>3.38904048304143</v>
      </c>
      <c r="O24" s="6">
        <f>1.644/LN(22)</f>
        <v>0.531859404976418</v>
      </c>
      <c r="P24" s="6">
        <f>1-0.3583</f>
        <v>0.6417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2023.2</vt:lpstr>
      <vt:lpstr>2023.5</vt:lpstr>
      <vt:lpstr>2023.9</vt:lpstr>
      <vt:lpstr>2022.7</vt:lpstr>
      <vt:lpstr>S1</vt:lpstr>
      <vt:lpstr>S2</vt:lpstr>
      <vt:lpstr>S3</vt:lpstr>
      <vt:lpstr>S4</vt:lpstr>
      <vt:lpstr>S5</vt:lpstr>
      <vt:lpstr>S6</vt:lpstr>
      <vt:lpstr>S7</vt:lpstr>
      <vt:lpstr>S8</vt:lpstr>
      <vt:lpstr>S11</vt:lpstr>
      <vt:lpstr>S9</vt:lpstr>
      <vt:lpstr>S10</vt:lpstr>
      <vt:lpstr>S12</vt:lpstr>
      <vt:lpstr>S13</vt:lpstr>
      <vt:lpstr>S14</vt:lpstr>
      <vt:lpstr>S15</vt:lpstr>
      <vt:lpstr>Four diversity indices for each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15943</dc:creator>
  <cp:lastModifiedBy>一路凯歌</cp:lastModifiedBy>
  <dcterms:created xsi:type="dcterms:W3CDTF">2023-11-10T11:19:00Z</dcterms:created>
  <dcterms:modified xsi:type="dcterms:W3CDTF">2025-05-22T14:38:05Z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54CE96862F184CE9BFD380C7AFC672CC_13</vt:lpwstr>
  </property>
  <property fmtid="{D5CDD505-2E9C-101B-9397-08002B2CF9AE}" pid="3" name="KSOProductBuildVer">
    <vt:lpwstr>2052-12.1.0.21171</vt:lpwstr>
  </property>
</Properties>
</file>